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336" tabRatio="435"/>
  </bookViews>
  <sheets>
    <sheet name="ORÇAMENTO" sheetId="1" r:id="rId1"/>
    <sheet name="COTAÇÕES" sheetId="4" r:id="rId2"/>
  </sheets>
  <definedNames>
    <definedName name="_xlnm.Print_Area" localSheetId="0">ORÇAMENTO!$A$1:$AW$96</definedName>
    <definedName name="_xlnm.Print_Titles" localSheetId="0">ORÇAMENTO!$1:$11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2" i="1" l="1"/>
  <c r="M93" i="1"/>
  <c r="M91" i="1"/>
  <c r="N89" i="1"/>
  <c r="M89" i="1"/>
  <c r="M61" i="1"/>
  <c r="M79" i="1"/>
  <c r="M85" i="1"/>
  <c r="N85" i="1"/>
  <c r="K83" i="1"/>
  <c r="M83" i="1"/>
  <c r="N83" i="1" s="1"/>
  <c r="K58" i="1" l="1"/>
  <c r="L22" i="1"/>
  <c r="K15" i="1"/>
  <c r="M15" i="1"/>
  <c r="N15" i="1" l="1"/>
  <c r="M58" i="1"/>
  <c r="N58" i="1" s="1"/>
  <c r="M76" i="1"/>
  <c r="N76" i="1" s="1"/>
  <c r="M74" i="1"/>
  <c r="N74" i="1" s="1"/>
  <c r="L30" i="1"/>
  <c r="L29" i="1"/>
  <c r="L28" i="1"/>
  <c r="K68" i="1" l="1"/>
  <c r="K70" i="1"/>
  <c r="K71" i="1"/>
  <c r="K69" i="1"/>
  <c r="K78" i="1"/>
  <c r="K84" i="1" s="1"/>
  <c r="M34" i="1" l="1"/>
  <c r="N34" i="1" s="1"/>
  <c r="M32" i="1"/>
  <c r="N32" i="1" s="1"/>
  <c r="M33" i="1"/>
  <c r="N33" i="1" s="1"/>
  <c r="K31" i="1" l="1"/>
  <c r="M31" i="1" s="1"/>
  <c r="N31" i="1" s="1"/>
  <c r="M29" i="1"/>
  <c r="N29" i="1" s="1"/>
  <c r="M30" i="1"/>
  <c r="N30" i="1" s="1"/>
  <c r="M28" i="1"/>
  <c r="N28" i="1" l="1"/>
  <c r="N35" i="1" s="1"/>
  <c r="M35" i="1"/>
  <c r="M22" i="1"/>
  <c r="N22" i="1" s="1"/>
  <c r="M88" i="1"/>
  <c r="N88" i="1" s="1"/>
  <c r="M84" i="1"/>
  <c r="N84" i="1" s="1"/>
  <c r="K77" i="1"/>
  <c r="M77" i="1" s="1"/>
  <c r="N77" i="1" s="1"/>
  <c r="M69" i="1"/>
  <c r="N69" i="1" s="1"/>
  <c r="M73" i="1"/>
  <c r="N73" i="1" s="1"/>
  <c r="M75" i="1"/>
  <c r="N75" i="1" s="1"/>
  <c r="M71" i="1"/>
  <c r="N71" i="1" s="1"/>
  <c r="K72" i="1"/>
  <c r="M72" i="1" s="1"/>
  <c r="N72" i="1" s="1"/>
  <c r="M67" i="1"/>
  <c r="N67" i="1" s="1"/>
  <c r="K60" i="1"/>
  <c r="M60" i="1" s="1"/>
  <c r="N60" i="1" s="1"/>
  <c r="K57" i="1"/>
  <c r="M57" i="1" s="1"/>
  <c r="N57" i="1" s="1"/>
  <c r="M49" i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9" i="1"/>
  <c r="N59" i="1" s="1"/>
  <c r="M66" i="1"/>
  <c r="M18" i="1"/>
  <c r="N18" i="1" s="1"/>
  <c r="K17" i="1"/>
  <c r="K19" i="1" s="1"/>
  <c r="K42" i="1"/>
  <c r="K21" i="1"/>
  <c r="K40" i="1"/>
  <c r="M40" i="1" s="1"/>
  <c r="N66" i="1" l="1"/>
  <c r="N49" i="1"/>
  <c r="N40" i="1"/>
  <c r="K20" i="1"/>
  <c r="M20" i="1" s="1"/>
  <c r="N20" i="1" s="1"/>
  <c r="M42" i="1"/>
  <c r="N42" i="1" s="1"/>
  <c r="K50" i="1"/>
  <c r="M50" i="1" s="1"/>
  <c r="N50" i="1" s="1"/>
  <c r="M78" i="1"/>
  <c r="N78" i="1" s="1"/>
  <c r="M70" i="1"/>
  <c r="N70" i="1" s="1"/>
  <c r="K41" i="1"/>
  <c r="M41" i="1" s="1"/>
  <c r="N41" i="1" s="1"/>
  <c r="M19" i="1"/>
  <c r="N19" i="1" s="1"/>
  <c r="M21" i="1"/>
  <c r="N21" i="1" s="1"/>
  <c r="M43" i="1" l="1"/>
  <c r="N61" i="1"/>
  <c r="N43" i="1"/>
  <c r="M68" i="1"/>
  <c r="M17" i="1"/>
  <c r="N17" i="1" s="1"/>
  <c r="M16" i="1"/>
  <c r="M23" i="1" s="1"/>
  <c r="N68" i="1" l="1"/>
  <c r="N79" i="1" s="1"/>
  <c r="N16" i="1"/>
  <c r="N23" i="1" s="1"/>
</calcChain>
</file>

<file path=xl/sharedStrings.xml><?xml version="1.0" encoding="utf-8"?>
<sst xmlns="http://schemas.openxmlformats.org/spreadsheetml/2006/main" count="331" uniqueCount="167">
  <si>
    <t>UNID.</t>
  </si>
  <si>
    <t>2.3</t>
  </si>
  <si>
    <t>2.2</t>
  </si>
  <si>
    <t>2.1</t>
  </si>
  <si>
    <t>m</t>
  </si>
  <si>
    <t>TOTAL</t>
  </si>
  <si>
    <t>UNIT.</t>
  </si>
  <si>
    <t>QUANT.</t>
  </si>
  <si>
    <t>DESCRIÇÃO</t>
  </si>
  <si>
    <t>ITEM</t>
  </si>
  <si>
    <t>Responsável:</t>
  </si>
  <si>
    <t>Cliente:</t>
  </si>
  <si>
    <t>Projeto:</t>
  </si>
  <si>
    <t>Revisão:</t>
  </si>
  <si>
    <t>2.4</t>
  </si>
  <si>
    <t>m²</t>
  </si>
  <si>
    <t>m³</t>
  </si>
  <si>
    <t>TOTAL GERAL</t>
  </si>
  <si>
    <t>Data:</t>
  </si>
  <si>
    <t>REFERÊNCIA</t>
  </si>
  <si>
    <t>Data Base SINAPI:</t>
  </si>
  <si>
    <t xml:space="preserve">Sinapi </t>
  </si>
  <si>
    <t>PLACA DE OBRA EM CHAPA DE ACO GALVANIZADO</t>
  </si>
  <si>
    <t>SUBTOTAL</t>
  </si>
  <si>
    <t xml:space="preserve">TOTAL </t>
  </si>
  <si>
    <t>RESPONSÁVEL TÉCNICO:</t>
  </si>
  <si>
    <t>ENGª. CIVIL FLÁVIA CRISTINA BARBOSA - CREA MG 187.842/D</t>
  </si>
  <si>
    <t>kg</t>
  </si>
  <si>
    <t>CORTE E DOBRA DE AÇO CA-50, DIÂMETRO DE 8,0 MM, UTILIZADO EM ESTRUTURAS DIVERSAS, EXCETO LAJES. AF_12/2015</t>
  </si>
  <si>
    <t>CORTE E DOBRA DE AÇO CA-50, DIÂMETRO DE 10,0 MM, UTILIZADO EM ESTRUTURAS DIVERSAS, EXCETO LAJES. AF_12/2016</t>
  </si>
  <si>
    <t>CORTE E DOBRA DE AÇO CA-50, DIÂMETRO DE 16,0 MM, UTILIZADO EM ESTRUTUR AS DIVERSAS, EXCETO LAJES. AF_12/2015</t>
  </si>
  <si>
    <t>CORTE E DOBRA DE AÇO CA-50, DIÂMETRO DE 20,0 MM, UTILIZADO EM ESTRUTUR AS DIVERSAS, EXCETO LAJES. AF_12/2015</t>
  </si>
  <si>
    <t>ARAME RECOZIDO 16 BWG, 1,60 MM (0,016 KG/M)</t>
  </si>
  <si>
    <t>FABRICAÇÃO DE ESCORAS DO TIPO PONTALETE, EM MADEIRA. AF_12/2015</t>
  </si>
  <si>
    <t>CARGA MANUAL DE ENTULHO EM CAMINHAO BASCULANTE 6 M3</t>
  </si>
  <si>
    <t>CHAPISCO APLICADO SOMENTE EM ESTRUTURAS DE CONCRETO EM ALVENARIAS INTERNAS, COM DESEMPENADEIRA DENTADA. ARGAMASSA INDUSTRIALIZADA COM PREPARO MANUAL. AF_06/2014</t>
  </si>
  <si>
    <t>ARGAMASSA TRAÇO 1:6 (CIMENTO E AREIA MÉDIA) COM ADIÇÃO DE PLASTIFICANTE PARA EMBOÇO/MASSA ÚNICA/ASSENTAMENTO DE ALVENARIA DE VEDAÇÃO, PREPARO MECÂNICO COM BETONEIRA 400 L. AF_06/2014</t>
  </si>
  <si>
    <t>PASTA DE CIMENTO PORTLAND PARA REBOCO, ESPESSURA 1MM</t>
  </si>
  <si>
    <t>ESPUMA EXPANSIVA DE POLIURETANO, APLICACAO MANUAL - 500 ML</t>
  </si>
  <si>
    <t>FUNDO ANTICORROSIVO PARA METAIS FERROSOS (ZARCAO)</t>
  </si>
  <si>
    <t>FUNDO PREPARADOR PRIMER A BASE DE EPOXI, PARA ESTRUTURA METALICA, UMA DEMAO, ESPESSURA DE 25 MICRA.</t>
  </si>
  <si>
    <t>73865/001</t>
  </si>
  <si>
    <t>2.5</t>
  </si>
  <si>
    <t>2.6</t>
  </si>
  <si>
    <t>2.7</t>
  </si>
  <si>
    <t>TRANSPORTE DE ENTULHO COM CAMINHÃO BASCULANTE 6 M3, RODOVIA PAVIMENTADA, DMT 0,5 A 1,0 KM</t>
  </si>
  <si>
    <t>ESCAVACAO MANUAL CAMPO ABERTO P/TUBULAO - FUSTE E/OU BASE (PARA TODASAS PROFUNDIDADES)</t>
  </si>
  <si>
    <t>ALARGAMENTO DE BASE DE TUBULÃO A CÉU ABERTO, ESCAVAÇÃO MANUAL, CONCRETO FEITO EM OBRA E LANÇADO COM JERICA. AF_01/2018</t>
  </si>
  <si>
    <t>TUBULÃO A CÉU ABERTO, DIÂMETRO DO FUSTE DE 70 CM, PROFUNDIDADE MENOR OU IGUAL A 5 M, ESCAVAÇÃO MANUAL, CONCRETO FEITO EM OBRA E LANÇADO COM JERICA. AF_01/2018</t>
  </si>
  <si>
    <t>CORTE E DOBRA DE AÇO CA-50, DIÂMETRO DE 6,3 MM, UTILIZADO EM ESTRUTURA S DIVERSAS, EXCETO LAJES. AF_12/2015</t>
  </si>
  <si>
    <t>CORTE E DOBRA DE AÇO CA-60, DIÂMETRO DE 5 MM, UTILIZADO EM ESTRUTURA S DIVERSAS, EXCETO LAJES. AF_12/2014</t>
  </si>
  <si>
    <t xml:space="preserve"> 73872/002 </t>
  </si>
  <si>
    <t xml:space="preserve">APLICAÇÃO MANUAL DE PINTURA COM TINTA LÁTEX PVA EM TETO, DUAS DEMÃOS. </t>
  </si>
  <si>
    <t xml:space="preserve"> LIMPEZA FINAL DA OBRA </t>
  </si>
  <si>
    <t>Data Base Mercado:</t>
  </si>
  <si>
    <t xml:space="preserve">PROJETO EXECUTIVO DE REFORÇO ESTRUTURAL </t>
  </si>
  <si>
    <t>Escola Municipal Dr. Vasconcelos Costa</t>
  </si>
  <si>
    <t xml:space="preserve">QUANTITATIVOS E ORÇAMENTO - REFORÇO ESTRUTURAL </t>
  </si>
  <si>
    <t xml:space="preserve">GRAUTE FGK=30 MPA; TRAÇO 1:0,8:1,1 (CIMENTO/ AREIA GROSSA/ BRITA 0/ ADITIVO) - PREPARO MECÂNICO COM BETONEIRA 400 L. AF_02/2015 </t>
  </si>
  <si>
    <t>3.1</t>
  </si>
  <si>
    <t>3.2</t>
  </si>
  <si>
    <t>3.3</t>
  </si>
  <si>
    <t>PORCA SEXTAVADA GR-8 1/2''</t>
  </si>
  <si>
    <t>ARRUELA DE PRESSÃO PESADA 1/2''</t>
  </si>
  <si>
    <t>PERFIL W 200X71  ASTM A 572 GRAU 60</t>
  </si>
  <si>
    <t>PONTOPAR</t>
  </si>
  <si>
    <t>COTAÇÃO-04/2018</t>
  </si>
  <si>
    <t>CHAPA DE ACO GROSSA, ASTM A36, E = 1/2 " (12,70 MM) 99,59 KG/M2</t>
  </si>
  <si>
    <t>Sinapi</t>
  </si>
  <si>
    <t>ELETRODO REVESTIDO AWS - E7018, DIAMETRO IGUAL A 4,00 MM</t>
  </si>
  <si>
    <t>ELETRODO REVESTIDO AWS - E-6010, DIAMETRO IGUAL A 4,00 MM</t>
  </si>
  <si>
    <t xml:space="preserve">BARRA ROSCADA A193 B-7 1/2'' </t>
  </si>
  <si>
    <t>ALVENARIA DE VEDAÇÃO DE BLOCOS VAZADOS DE CONCRETO DE 9X19X39CM (ESPESSURA 9CM) DE PAREDES COM ÁREA LÍQUIDA MAIOR OU IGUAL A 6M² COM VÃOS EARGAMASSA DE ASSENTAMENTO COM PREPARO MANUAL. AF_06/2014</t>
  </si>
  <si>
    <t>APLICAÇÃO MANUAL DE PINTURA COM TINTA LÁTEX ACRÍLICA EM PAREDES, DUAS DEMAOS</t>
  </si>
  <si>
    <t>IMPERMEABILIZACAO COM PINTURA A BASE DE RESINA EPOXI ALCATRAO, DUAS DEMAOS</t>
  </si>
  <si>
    <t>MONTAGEM E DESMONTAGEM DE FÔRMA DE PILARES RETANGULARES E ESTRUTURAS SIMILARES COM ÁREA MÉDIA DAS SEÇÕES MAIOR QUE 0,25 M², PÉ-DIREITO SIMPLES, EM MADEIRA SERRADA, 1 UTILIZAÇÃO. AF_12/2015</t>
  </si>
  <si>
    <t>02.14.01</t>
  </si>
  <si>
    <t>Sudecap</t>
  </si>
  <si>
    <t>DEMOLIÇÃO MANUAL DE ALVENARIA INCL. AFASTAMENTO DE ALVENARIA DE TIJOLOS E BLOCOS</t>
  </si>
  <si>
    <t>DEMOLIÇÃO DE CONCRETO, INCL. AFASTAMENTO SIMPLES - MANUAL</t>
  </si>
  <si>
    <t>02.13.01</t>
  </si>
  <si>
    <t>ESCORA METÁLICA AJUSTÁVEL, DE 2,0 A 4,0 METROS</t>
  </si>
  <si>
    <t>05.07.40</t>
  </si>
  <si>
    <t>CONCRETO ESTRUTURAL, FORN. APLICAÇÃO E ADENSAMENTO, FCK &gt;= 20 MPA, USINADO</t>
  </si>
  <si>
    <t>CONCRETO ESTRUTURAL, FORN. APLICAÇÃO E ADENSAMENTO, FCK &gt;= 25 MPA, USINADO</t>
  </si>
  <si>
    <t>05.07.45</t>
  </si>
  <si>
    <t>REPARO/COLAGEM DE ESTRUTURAS DE CONCRETO COM ADESIVO ESTRUTURAL A BASE DE EPOXI, E= 2MM</t>
  </si>
  <si>
    <t>Data Base SUDECAP:</t>
  </si>
  <si>
    <t>CARGA, MANOBRAS E DESCARGA DE MATERIAIS DIVERSOS</t>
  </si>
  <si>
    <t>TEKNO</t>
  </si>
  <si>
    <t>COTAÇÃO-08/2018</t>
  </si>
  <si>
    <t xml:space="preserve">PEDREIRO COM ENCARGOS COMPLEMENTARES </t>
  </si>
  <si>
    <t>H</t>
  </si>
  <si>
    <t>1.1</t>
  </si>
  <si>
    <t>CUSTO TOTAL C/ BDI (R$)</t>
  </si>
  <si>
    <t>R00</t>
  </si>
  <si>
    <t>PISO CIMENTADO, TRAÇO 1:3 (CIMENTO E AREIA), ACABAMENTO LISO, ESPESSURA 3,0 CM, PREPARO MECÂNICO DA ARGAMASSA. AF_06/2018</t>
  </si>
  <si>
    <t>74209/001</t>
  </si>
  <si>
    <t>BDI 31,29%</t>
  </si>
  <si>
    <t>MEMÓRIA DE CÁLCULO</t>
  </si>
  <si>
    <t>COTAÇÃO DE PREÇOS DE MERCADO PARA SERVIÇOS NÃO CONSTANTES EM TABELAS DE PREÇOS OFICIAIS</t>
  </si>
  <si>
    <t>EMPRESA</t>
  </si>
  <si>
    <t>CONTATO</t>
  </si>
  <si>
    <t>Site/EMAIL</t>
  </si>
  <si>
    <t>Preço</t>
  </si>
  <si>
    <t>VALOR ADOTADO</t>
  </si>
  <si>
    <t>Item 2.6</t>
  </si>
  <si>
    <t>Mercado Livre</t>
  </si>
  <si>
    <t>(11) 3207-9020</t>
  </si>
  <si>
    <t>Item 3.1</t>
  </si>
  <si>
    <t>Item 3.2</t>
  </si>
  <si>
    <t>Item 3.3</t>
  </si>
  <si>
    <t>Item 3.4</t>
  </si>
  <si>
    <t>(11) 2903-6000</t>
  </si>
  <si>
    <t>MERCADO</t>
  </si>
  <si>
    <t>COTAÇÃO</t>
  </si>
  <si>
    <t>L</t>
  </si>
  <si>
    <t>CNPJ</t>
  </si>
  <si>
    <t>04.060.473/0001-35</t>
  </si>
  <si>
    <t>Ponto Par</t>
  </si>
  <si>
    <t>Tekno</t>
  </si>
  <si>
    <t>33.467.572-0001/34</t>
  </si>
  <si>
    <t>17.038.947/0001-94</t>
  </si>
  <si>
    <t>https://produto.mercadolivre.com.br/MLB-907849063-kit-2-escora-metalica-regulavel-ferro-direto-de-fabrica-_JM</t>
  </si>
  <si>
    <t>https://produto.mercadolivre.com.br/MLB-871277583-kit-2-escora-de-laje-para-fazer-escoramento-de-lajes-de-obra-_JM</t>
  </si>
  <si>
    <t>1.2</t>
  </si>
  <si>
    <t>ENGENHEIRO CIVIL DE OBRA SENIOR COM ENCARGOS COMPLEMENTARES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</si>
  <si>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</si>
  <si>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</si>
  <si>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</si>
  <si>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</si>
  <si>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</si>
  <si>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</si>
  <si>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</si>
  <si>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</si>
  <si>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</si>
  <si>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</si>
  <si>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</si>
  <si>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</si>
  <si>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1.3</t>
  </si>
  <si>
    <t>1.4</t>
  </si>
  <si>
    <t>1.5</t>
  </si>
  <si>
    <t>1.6</t>
  </si>
  <si>
    <t>1.7</t>
  </si>
  <si>
    <t>1.8</t>
  </si>
  <si>
    <t>1. SERVIÇOS PRELIMINARES - LOCAÇÃO DA OBRA, ESCORAMENTO E DEMOLIÇÕES</t>
  </si>
  <si>
    <t>2. IMPLANTAÇÃO DAS ESTRUTURAS METÁLICAS</t>
  </si>
  <si>
    <t>3. EXECUÇÃO DAS FUNDAÇÕES</t>
  </si>
  <si>
    <t>4. EXECUÇÃO DAS ESTRUTURAS DE CONCRETO ARMADO</t>
  </si>
  <si>
    <t xml:space="preserve">5. SERVIÇOS DE RECONSTRUÇÃO E RECUPERAÇÃO 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</si>
  <si>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</si>
  <si>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</si>
  <si>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</si>
  <si>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</si>
  <si>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</si>
  <si>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</si>
  <si>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</si>
  <si>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</si>
  <si>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</si>
  <si>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</si>
  <si>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</si>
  <si>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</si>
  <si>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</si>
  <si>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6.1</t>
  </si>
  <si>
    <t>6.2</t>
  </si>
  <si>
    <t>6. EXECUÇÃO DOS SERVIÇOS DE DESFORMA E PINTURA</t>
  </si>
  <si>
    <t>7. LIMPEZA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</si>
</sst>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2"/>
      <name val="Verdana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9" tint="-0.24994659260841701"/>
      </right>
      <top/>
      <bottom/>
      <diagonal/>
    </border>
    <border>
      <left/>
      <right/>
      <top style="thin">
        <color rgb="FFF79646"/>
      </top>
      <bottom style="thin">
        <color rgb="FFF79646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/>
      <bottom style="dotted">
        <color theme="9"/>
      </bottom>
      <diagonal/>
    </border>
    <border>
      <left style="thin">
        <color theme="9"/>
      </left>
      <right/>
      <top/>
      <bottom style="dotted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 vertical="center" wrapText="1"/>
    </xf>
    <xf numFmtId="43" fontId="2" fillId="0" borderId="3" xfId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justify" vertical="center" wrapText="1"/>
    </xf>
    <xf numFmtId="164" fontId="7" fillId="0" borderId="3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3" fontId="2" fillId="0" borderId="3" xfId="1" applyNumberFormat="1" applyFont="1" applyFill="1" applyBorder="1" applyAlignment="1">
      <alignment horizontal="center" vertical="center" wrapText="1"/>
    </xf>
    <xf numFmtId="44" fontId="8" fillId="0" borderId="12" xfId="2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9" fillId="0" borderId="0" xfId="3"/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164" fontId="13" fillId="0" borderId="20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64" fontId="11" fillId="0" borderId="0" xfId="2" applyFont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indent="2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 indent="2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35874</xdr:rowOff>
    </xdr:from>
    <xdr:to>
      <xdr:col>12</xdr:col>
      <xdr:colOff>220595</xdr:colOff>
      <xdr:row>5</xdr:row>
      <xdr:rowOff>184374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770" y="590056"/>
          <a:ext cx="135705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roduto.mercadolivre.com.br/MLB-871277583-kit-2-escora-de-laje-para-fazer-escoramento-de-lajes-de-obra-_JM" TargetMode="External"/><Relationship Id="rId1" Type="http://schemas.openxmlformats.org/officeDocument/2006/relationships/hyperlink" Target="https://produto.mercadolivre.com.br/MLB-907849063-kit-2-escora-metalica-regulavel-ferro-direto-de-fabrica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612"/>
  <sheetViews>
    <sheetView showGridLines="0" tabSelected="1" showWhiteSpace="0" view="pageBreakPreview" topLeftCell="A4" zoomScale="55" zoomScaleNormal="70" zoomScaleSheetLayoutView="55" zoomScalePageLayoutView="55" workbookViewId="0">
      <selection activeCell="A89" sqref="A89:L89"/>
    </sheetView>
  </sheetViews>
  <sheetFormatPr defaultColWidth="7.5546875" defaultRowHeight="16.2" zeroHeight="1" x14ac:dyDescent="0.3"/>
  <cols>
    <col min="1" max="1" width="9.33203125" style="1" bestFit="1" customWidth="1"/>
    <col min="2" max="2" width="15.88671875" style="1" customWidth="1"/>
    <col min="3" max="3" width="20.5546875" style="1" customWidth="1"/>
    <col min="4" max="6" width="15.44140625" style="1" customWidth="1"/>
    <col min="7" max="7" width="20.5546875" style="1" customWidth="1"/>
    <col min="8" max="8" width="18.6640625" style="1" customWidth="1"/>
    <col min="9" max="9" width="21.6640625" style="1" customWidth="1"/>
    <col min="10" max="10" width="15.44140625" style="1" customWidth="1"/>
    <col min="11" max="11" width="18.6640625" style="1" bestFit="1" customWidth="1"/>
    <col min="12" max="12" width="20.88671875" style="1" customWidth="1"/>
    <col min="13" max="13" width="22.109375" style="1" bestFit="1" customWidth="1"/>
    <col min="14" max="14" width="21.6640625" style="1" customWidth="1"/>
    <col min="15" max="59" width="0" style="1" hidden="1" customWidth="1"/>
    <col min="60" max="16384" width="7.5546875" style="1"/>
  </cols>
  <sheetData>
    <row r="1" spans="1:90" x14ac:dyDescent="0.3">
      <c r="L1" s="10" t="s">
        <v>13</v>
      </c>
      <c r="M1" s="12" t="s">
        <v>95</v>
      </c>
    </row>
    <row r="2" spans="1:90" ht="29.25" customHeight="1" thickBot="1" x14ac:dyDescent="0.35">
      <c r="A2" s="79" t="s">
        <v>57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1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</row>
    <row r="3" spans="1:90" ht="15" customHeight="1" thickTop="1" x14ac:dyDescent="0.3">
      <c r="A3" s="82" t="s">
        <v>12</v>
      </c>
      <c r="B3" s="82"/>
      <c r="C3" s="82"/>
      <c r="E3" s="82" t="s">
        <v>11</v>
      </c>
      <c r="F3" s="82"/>
      <c r="G3" s="82"/>
      <c r="H3" s="15"/>
      <c r="I3" s="15"/>
      <c r="K3" s="82" t="s">
        <v>10</v>
      </c>
      <c r="L3" s="82"/>
      <c r="M3" s="82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</row>
    <row r="4" spans="1:90" x14ac:dyDescent="0.3">
      <c r="A4" s="83" t="s">
        <v>56</v>
      </c>
      <c r="B4" s="83"/>
      <c r="C4" s="83"/>
      <c r="E4" s="84"/>
      <c r="F4" s="84"/>
      <c r="G4" s="84"/>
      <c r="H4" s="16"/>
      <c r="I4" s="16"/>
      <c r="K4" s="84"/>
      <c r="L4" s="84"/>
      <c r="M4" s="84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</row>
    <row r="5" spans="1:90" x14ac:dyDescent="0.3">
      <c r="A5" s="83"/>
      <c r="B5" s="83"/>
      <c r="C5" s="83"/>
      <c r="E5" s="84"/>
      <c r="F5" s="84"/>
      <c r="G5" s="84"/>
      <c r="H5" s="16"/>
      <c r="I5" s="16"/>
      <c r="K5" s="84"/>
      <c r="L5" s="84"/>
      <c r="M5" s="84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</row>
    <row r="6" spans="1:90" x14ac:dyDescent="0.3">
      <c r="A6" s="83"/>
      <c r="B6" s="83"/>
      <c r="C6" s="83"/>
      <c r="E6" s="84"/>
      <c r="F6" s="84"/>
      <c r="G6" s="84"/>
      <c r="H6" s="16"/>
      <c r="I6" s="16"/>
      <c r="K6" s="84"/>
      <c r="L6" s="84"/>
      <c r="M6" s="84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</row>
    <row r="7" spans="1:90" ht="15" customHeight="1" x14ac:dyDescent="0.3">
      <c r="A7" s="8"/>
      <c r="B7" s="8"/>
      <c r="C7" s="8"/>
      <c r="E7" s="8"/>
      <c r="F7" s="8"/>
      <c r="G7" s="8"/>
      <c r="H7" s="16"/>
      <c r="I7" s="16"/>
      <c r="K7" s="81" t="s">
        <v>20</v>
      </c>
      <c r="L7" s="73"/>
      <c r="M7" s="33">
        <v>43405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</row>
    <row r="8" spans="1:90" ht="15" customHeight="1" x14ac:dyDescent="0.3">
      <c r="A8" s="73" t="s">
        <v>18</v>
      </c>
      <c r="B8" s="73"/>
      <c r="C8" s="14">
        <v>43467</v>
      </c>
      <c r="D8" s="13"/>
      <c r="E8" s="8"/>
      <c r="K8" s="81" t="s">
        <v>87</v>
      </c>
      <c r="L8" s="73"/>
      <c r="M8" s="33">
        <v>43374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</row>
    <row r="9" spans="1:90" ht="15" x14ac:dyDescent="0.25">
      <c r="A9" s="9"/>
      <c r="B9" s="9"/>
      <c r="C9" s="8"/>
      <c r="E9" s="8"/>
      <c r="F9" s="8"/>
      <c r="G9" s="8"/>
      <c r="H9" s="16"/>
      <c r="I9" s="16"/>
      <c r="K9" s="81" t="s">
        <v>54</v>
      </c>
      <c r="L9" s="73"/>
      <c r="M9" s="33">
        <v>43374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</row>
    <row r="10" spans="1:90" ht="19.5" customHeight="1" x14ac:dyDescent="0.3">
      <c r="A10" s="80" t="s">
        <v>55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</row>
    <row r="11" spans="1:90" ht="19.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</row>
    <row r="12" spans="1:90" s="18" customFormat="1" ht="20.100000000000001" customHeight="1" x14ac:dyDescent="0.3">
      <c r="A12" s="78" t="s">
        <v>145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</row>
    <row r="13" spans="1:90" ht="5.099999999999999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</row>
    <row r="14" spans="1:90" ht="63.75" customHeight="1" x14ac:dyDescent="0.3">
      <c r="A14" s="2" t="s">
        <v>9</v>
      </c>
      <c r="B14" s="77" t="s">
        <v>8</v>
      </c>
      <c r="C14" s="77"/>
      <c r="D14" s="77"/>
      <c r="E14" s="77"/>
      <c r="F14" s="77"/>
      <c r="G14" s="77"/>
      <c r="H14" s="20" t="s">
        <v>9</v>
      </c>
      <c r="I14" s="20" t="s">
        <v>19</v>
      </c>
      <c r="J14" s="20" t="s">
        <v>0</v>
      </c>
      <c r="K14" s="20" t="s">
        <v>7</v>
      </c>
      <c r="L14" s="20" t="s">
        <v>6</v>
      </c>
      <c r="M14" s="20" t="s">
        <v>5</v>
      </c>
      <c r="N14" s="47" t="s">
        <v>94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</row>
    <row r="15" spans="1:90" ht="37.799999999999997" customHeight="1" x14ac:dyDescent="0.3">
      <c r="A15" s="45" t="s">
        <v>93</v>
      </c>
      <c r="B15" s="72" t="s">
        <v>126</v>
      </c>
      <c r="C15" s="72"/>
      <c r="D15" s="72"/>
      <c r="E15" s="72"/>
      <c r="F15" s="72"/>
      <c r="G15" s="72"/>
      <c r="H15" s="21">
        <v>90779</v>
      </c>
      <c r="I15" s="21" t="s">
        <v>21</v>
      </c>
      <c r="J15" s="21" t="s">
        <v>92</v>
      </c>
      <c r="K15" s="46">
        <f>40*4*3</f>
        <v>480</v>
      </c>
      <c r="L15" s="42">
        <v>109.56</v>
      </c>
      <c r="M15" s="42">
        <f t="shared" ref="M15" si="0">K15*L15</f>
        <v>52588.800000000003</v>
      </c>
      <c r="N15" s="69">
        <f>M15*1.3129</f>
        <v>69043.835520000008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</row>
    <row r="16" spans="1:90" ht="37.799999999999997" customHeight="1" x14ac:dyDescent="0.3">
      <c r="A16" s="45" t="s">
        <v>125</v>
      </c>
      <c r="B16" s="72" t="s">
        <v>22</v>
      </c>
      <c r="C16" s="72"/>
      <c r="D16" s="72"/>
      <c r="E16" s="72"/>
      <c r="F16" s="72"/>
      <c r="G16" s="72"/>
      <c r="H16" s="21" t="s">
        <v>97</v>
      </c>
      <c r="I16" s="21" t="s">
        <v>21</v>
      </c>
      <c r="J16" s="21" t="s">
        <v>15</v>
      </c>
      <c r="K16" s="46">
        <v>2</v>
      </c>
      <c r="L16" s="42">
        <v>344.18</v>
      </c>
      <c r="M16" s="42">
        <f t="shared" ref="M16" si="1">K16*L16</f>
        <v>688.36</v>
      </c>
      <c r="N16" s="69">
        <f>M16*1.3129</f>
        <v>903.74784399999999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</row>
    <row r="17" spans="1:90" ht="37.799999999999997" customHeight="1" x14ac:dyDescent="0.3">
      <c r="A17" s="45" t="s">
        <v>139</v>
      </c>
      <c r="B17" s="72" t="s">
        <v>79</v>
      </c>
      <c r="C17" s="72"/>
      <c r="D17" s="72"/>
      <c r="E17" s="72"/>
      <c r="F17" s="72"/>
      <c r="G17" s="72"/>
      <c r="H17" s="21" t="s">
        <v>80</v>
      </c>
      <c r="I17" s="21" t="s">
        <v>77</v>
      </c>
      <c r="J17" s="21" t="s">
        <v>15</v>
      </c>
      <c r="K17" s="34">
        <f>8.64+0.858</f>
        <v>9.4980000000000011</v>
      </c>
      <c r="L17" s="42">
        <v>164.6</v>
      </c>
      <c r="M17" s="43">
        <f>K17*L17</f>
        <v>1563.3708000000001</v>
      </c>
      <c r="N17" s="69">
        <f>M17*1.3129</f>
        <v>2052.5495233199999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</row>
    <row r="18" spans="1:90" ht="37.799999999999997" customHeight="1" x14ac:dyDescent="0.3">
      <c r="A18" s="45" t="s">
        <v>140</v>
      </c>
      <c r="B18" s="72" t="s">
        <v>78</v>
      </c>
      <c r="C18" s="72"/>
      <c r="D18" s="72"/>
      <c r="E18" s="72"/>
      <c r="F18" s="72"/>
      <c r="G18" s="72"/>
      <c r="H18" s="21" t="s">
        <v>76</v>
      </c>
      <c r="I18" s="21" t="s">
        <v>77</v>
      </c>
      <c r="J18" s="21" t="s">
        <v>16</v>
      </c>
      <c r="K18" s="34">
        <v>30</v>
      </c>
      <c r="L18" s="42">
        <v>74.66</v>
      </c>
      <c r="M18" s="43">
        <f>K18*L18</f>
        <v>2239.7999999999997</v>
      </c>
      <c r="N18" s="69">
        <f>M18*1.3129</f>
        <v>2940.6334199999997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</row>
    <row r="19" spans="1:90" ht="37.799999999999997" customHeight="1" x14ac:dyDescent="0.3">
      <c r="A19" s="45" t="s">
        <v>141</v>
      </c>
      <c r="B19" s="75" t="s">
        <v>34</v>
      </c>
      <c r="C19" s="75"/>
      <c r="D19" s="75"/>
      <c r="E19" s="75"/>
      <c r="F19" s="75"/>
      <c r="G19" s="75"/>
      <c r="H19" s="67">
        <v>72897</v>
      </c>
      <c r="I19" s="67" t="s">
        <v>21</v>
      </c>
      <c r="J19" s="67" t="s">
        <v>16</v>
      </c>
      <c r="K19" s="68">
        <f>K18+(K17*0.08)</f>
        <v>30.759840000000001</v>
      </c>
      <c r="L19" s="43">
        <v>16.96</v>
      </c>
      <c r="M19" s="43">
        <f>K19*L19</f>
        <v>521.68688640000005</v>
      </c>
      <c r="N19" s="70">
        <f>M19*1.3129</f>
        <v>684.92271315456003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</row>
    <row r="20" spans="1:90" ht="37.799999999999997" customHeight="1" x14ac:dyDescent="0.3">
      <c r="A20" s="45" t="s">
        <v>142</v>
      </c>
      <c r="B20" s="72" t="s">
        <v>45</v>
      </c>
      <c r="C20" s="72"/>
      <c r="D20" s="72"/>
      <c r="E20" s="72"/>
      <c r="F20" s="72"/>
      <c r="G20" s="72"/>
      <c r="H20" s="21">
        <v>72900</v>
      </c>
      <c r="I20" s="21" t="s">
        <v>21</v>
      </c>
      <c r="J20" s="21" t="s">
        <v>16</v>
      </c>
      <c r="K20" s="34">
        <f>K19*1.3</f>
        <v>39.987791999999999</v>
      </c>
      <c r="L20" s="42">
        <v>5.97</v>
      </c>
      <c r="M20" s="43">
        <f>K20*L20</f>
        <v>238.72711823999998</v>
      </c>
      <c r="N20" s="69">
        <f>M20*1.3129</f>
        <v>313.42483353729597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</row>
    <row r="21" spans="1:90" ht="37.799999999999997" customHeight="1" x14ac:dyDescent="0.3">
      <c r="A21" s="45" t="s">
        <v>143</v>
      </c>
      <c r="B21" s="72" t="s">
        <v>46</v>
      </c>
      <c r="C21" s="72"/>
      <c r="D21" s="72"/>
      <c r="E21" s="72"/>
      <c r="F21" s="72"/>
      <c r="G21" s="72"/>
      <c r="H21" s="21">
        <v>79475</v>
      </c>
      <c r="I21" s="21" t="s">
        <v>21</v>
      </c>
      <c r="J21" s="21" t="s">
        <v>16</v>
      </c>
      <c r="K21" s="34">
        <f>(PI()*(0.35^2))*3*6</f>
        <v>6.927211801165492</v>
      </c>
      <c r="L21" s="42">
        <v>296.2</v>
      </c>
      <c r="M21" s="43">
        <f>K21*L21</f>
        <v>2051.8401355052188</v>
      </c>
      <c r="N21" s="69">
        <f>M21*1.3129</f>
        <v>2693.8609139048017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</row>
    <row r="22" spans="1:90" ht="37.799999999999997" customHeight="1" x14ac:dyDescent="0.3">
      <c r="A22" s="45" t="s">
        <v>144</v>
      </c>
      <c r="B22" s="72" t="s">
        <v>81</v>
      </c>
      <c r="C22" s="72"/>
      <c r="D22" s="72"/>
      <c r="E22" s="72"/>
      <c r="F22" s="72"/>
      <c r="G22" s="72"/>
      <c r="H22" s="21" t="s">
        <v>115</v>
      </c>
      <c r="I22" s="21" t="s">
        <v>114</v>
      </c>
      <c r="J22" s="21" t="s">
        <v>0</v>
      </c>
      <c r="K22" s="34">
        <v>12</v>
      </c>
      <c r="L22" s="42">
        <f>181.7</f>
        <v>181.7</v>
      </c>
      <c r="M22" s="43">
        <f>K22*L22</f>
        <v>2180.3999999999996</v>
      </c>
      <c r="N22" s="69">
        <f>M22*1.3129</f>
        <v>2862.6471599999995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</row>
    <row r="23" spans="1:90" ht="16.2" customHeight="1" x14ac:dyDescent="0.3">
      <c r="A23" s="73" t="s">
        <v>23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32">
        <f>SUM(M15:M22)</f>
        <v>62072.984940145223</v>
      </c>
      <c r="N23" s="32">
        <f>SUM(N15:N22)</f>
        <v>81495.621927916669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</row>
    <row r="24" spans="1:90" ht="16.2" customHeigh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9"/>
      <c r="N24" s="19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</row>
    <row r="25" spans="1:90" ht="20.100000000000001" customHeight="1" x14ac:dyDescent="0.3">
      <c r="A25" s="78" t="s">
        <v>146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18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</row>
    <row r="26" spans="1:90" ht="20.100000000000001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38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</row>
    <row r="27" spans="1:90" ht="54.6" customHeight="1" x14ac:dyDescent="0.3">
      <c r="A27" s="2" t="s">
        <v>9</v>
      </c>
      <c r="B27" s="77" t="s">
        <v>8</v>
      </c>
      <c r="C27" s="77"/>
      <c r="D27" s="77"/>
      <c r="E27" s="77"/>
      <c r="F27" s="77"/>
      <c r="G27" s="77"/>
      <c r="H27" s="20" t="s">
        <v>9</v>
      </c>
      <c r="I27" s="20" t="s">
        <v>19</v>
      </c>
      <c r="J27" s="20" t="s">
        <v>0</v>
      </c>
      <c r="K27" s="20" t="s">
        <v>7</v>
      </c>
      <c r="L27" s="20" t="s">
        <v>6</v>
      </c>
      <c r="M27" s="20" t="s">
        <v>5</v>
      </c>
      <c r="N27" s="47" t="s">
        <v>94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</row>
    <row r="28" spans="1:90" s="53" customFormat="1" ht="38.4" customHeight="1" x14ac:dyDescent="0.3">
      <c r="A28" s="45" t="s">
        <v>3</v>
      </c>
      <c r="B28" s="72" t="s">
        <v>71</v>
      </c>
      <c r="C28" s="72"/>
      <c r="D28" s="72"/>
      <c r="E28" s="72"/>
      <c r="F28" s="72"/>
      <c r="G28" s="72"/>
      <c r="H28" s="21" t="s">
        <v>66</v>
      </c>
      <c r="I28" s="21" t="s">
        <v>65</v>
      </c>
      <c r="J28" s="21" t="s">
        <v>4</v>
      </c>
      <c r="K28" s="34">
        <v>18.5</v>
      </c>
      <c r="L28" s="42">
        <f>13.82*1.415</f>
        <v>19.555300000000003</v>
      </c>
      <c r="M28" s="42">
        <f>K28*L28</f>
        <v>361.77305000000007</v>
      </c>
      <c r="N28" s="50">
        <f>M28*1.3129</f>
        <v>474.9718373450001</v>
      </c>
    </row>
    <row r="29" spans="1:90" s="53" customFormat="1" ht="38.4" customHeight="1" x14ac:dyDescent="0.3">
      <c r="A29" s="45" t="s">
        <v>2</v>
      </c>
      <c r="B29" s="72" t="s">
        <v>62</v>
      </c>
      <c r="C29" s="72"/>
      <c r="D29" s="72"/>
      <c r="E29" s="72"/>
      <c r="F29" s="72"/>
      <c r="G29" s="72"/>
      <c r="H29" s="21" t="s">
        <v>66</v>
      </c>
      <c r="I29" s="21" t="s">
        <v>65</v>
      </c>
      <c r="J29" s="21" t="s">
        <v>0</v>
      </c>
      <c r="K29" s="34">
        <v>106</v>
      </c>
      <c r="L29" s="42">
        <f>0.27*1.415</f>
        <v>0.38205000000000006</v>
      </c>
      <c r="M29" s="42">
        <f t="shared" ref="M29:M31" si="2">K29*L29</f>
        <v>40.497300000000003</v>
      </c>
      <c r="N29" s="50">
        <f t="shared" ref="N29:N34" si="3">M29*1.3129</f>
        <v>53.168905170000002</v>
      </c>
    </row>
    <row r="30" spans="1:90" s="53" customFormat="1" ht="38.4" customHeight="1" x14ac:dyDescent="0.3">
      <c r="A30" s="45" t="s">
        <v>1</v>
      </c>
      <c r="B30" s="72" t="s">
        <v>63</v>
      </c>
      <c r="C30" s="72"/>
      <c r="D30" s="72"/>
      <c r="E30" s="72"/>
      <c r="F30" s="72"/>
      <c r="G30" s="72"/>
      <c r="H30" s="21" t="s">
        <v>66</v>
      </c>
      <c r="I30" s="21" t="s">
        <v>65</v>
      </c>
      <c r="J30" s="21" t="s">
        <v>0</v>
      </c>
      <c r="K30" s="34">
        <v>106</v>
      </c>
      <c r="L30" s="42">
        <f>0.13*1.415</f>
        <v>0.18395</v>
      </c>
      <c r="M30" s="42">
        <f t="shared" si="2"/>
        <v>19.498699999999999</v>
      </c>
      <c r="N30" s="50">
        <f t="shared" si="3"/>
        <v>25.599843229999998</v>
      </c>
    </row>
    <row r="31" spans="1:90" s="53" customFormat="1" ht="38.4" customHeight="1" x14ac:dyDescent="0.3">
      <c r="A31" s="45" t="s">
        <v>14</v>
      </c>
      <c r="B31" s="72" t="s">
        <v>64</v>
      </c>
      <c r="C31" s="72"/>
      <c r="D31" s="72"/>
      <c r="E31" s="72"/>
      <c r="F31" s="72"/>
      <c r="G31" s="72"/>
      <c r="H31" s="21" t="s">
        <v>90</v>
      </c>
      <c r="I31" s="21" t="s">
        <v>89</v>
      </c>
      <c r="J31" s="21" t="s">
        <v>27</v>
      </c>
      <c r="K31" s="34">
        <f>SUM(1168+805+400+320+316+360)</f>
        <v>3369</v>
      </c>
      <c r="L31" s="42">
        <v>11.25</v>
      </c>
      <c r="M31" s="42">
        <f t="shared" si="2"/>
        <v>37901.25</v>
      </c>
      <c r="N31" s="50">
        <f t="shared" si="3"/>
        <v>49760.551124999998</v>
      </c>
    </row>
    <row r="32" spans="1:90" s="53" customFormat="1" ht="38.4" customHeight="1" x14ac:dyDescent="0.3">
      <c r="A32" s="45" t="s">
        <v>42</v>
      </c>
      <c r="B32" s="72" t="s">
        <v>70</v>
      </c>
      <c r="C32" s="72"/>
      <c r="D32" s="72"/>
      <c r="E32" s="72"/>
      <c r="F32" s="72"/>
      <c r="G32" s="72"/>
      <c r="H32" s="21">
        <v>10998</v>
      </c>
      <c r="I32" s="21" t="s">
        <v>68</v>
      </c>
      <c r="J32" s="21" t="s">
        <v>27</v>
      </c>
      <c r="K32" s="34">
        <v>9</v>
      </c>
      <c r="L32" s="42">
        <v>22.89</v>
      </c>
      <c r="M32" s="42">
        <f t="shared" ref="M32:M33" si="4">K32*L32</f>
        <v>206.01</v>
      </c>
      <c r="N32" s="50">
        <f t="shared" si="3"/>
        <v>270.470529</v>
      </c>
    </row>
    <row r="33" spans="1:90" s="53" customFormat="1" ht="38.4" customHeight="1" x14ac:dyDescent="0.3">
      <c r="A33" s="45" t="s">
        <v>43</v>
      </c>
      <c r="B33" s="72" t="s">
        <v>69</v>
      </c>
      <c r="C33" s="72"/>
      <c r="D33" s="72"/>
      <c r="E33" s="72"/>
      <c r="F33" s="72"/>
      <c r="G33" s="72"/>
      <c r="H33" s="21">
        <v>10997</v>
      </c>
      <c r="I33" s="21" t="s">
        <v>68</v>
      </c>
      <c r="J33" s="21" t="s">
        <v>27</v>
      </c>
      <c r="K33" s="34">
        <v>9</v>
      </c>
      <c r="L33" s="42">
        <v>21.84</v>
      </c>
      <c r="M33" s="42">
        <f t="shared" si="4"/>
        <v>196.56</v>
      </c>
      <c r="N33" s="50">
        <f t="shared" si="3"/>
        <v>258.063624</v>
      </c>
    </row>
    <row r="34" spans="1:90" s="53" customFormat="1" ht="38.4" customHeight="1" x14ac:dyDescent="0.3">
      <c r="A34" s="45" t="s">
        <v>44</v>
      </c>
      <c r="B34" s="72" t="s">
        <v>67</v>
      </c>
      <c r="C34" s="72"/>
      <c r="D34" s="72"/>
      <c r="E34" s="72"/>
      <c r="F34" s="72"/>
      <c r="G34" s="72"/>
      <c r="H34" s="21">
        <v>1333</v>
      </c>
      <c r="I34" s="21" t="s">
        <v>68</v>
      </c>
      <c r="J34" s="21" t="s">
        <v>27</v>
      </c>
      <c r="K34" s="34">
        <v>233.88239999999999</v>
      </c>
      <c r="L34" s="42">
        <v>5.86</v>
      </c>
      <c r="M34" s="42">
        <f t="shared" ref="M34" si="5">K34*L34</f>
        <v>1370.550864</v>
      </c>
      <c r="N34" s="50">
        <f t="shared" si="3"/>
        <v>1799.3962293456</v>
      </c>
    </row>
    <row r="35" spans="1:90" ht="20.100000000000001" customHeight="1" x14ac:dyDescent="0.3">
      <c r="A35" s="73" t="s">
        <v>23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49">
        <f>SUM(M28:M34)</f>
        <v>40096.139913999999</v>
      </c>
      <c r="N35" s="49">
        <f>SUM(N28:N34)</f>
        <v>52642.222093090597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</row>
    <row r="36" spans="1:90" ht="20.100000000000001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1"/>
      <c r="N36" s="38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</row>
    <row r="37" spans="1:90" ht="20.100000000000001" customHeight="1" x14ac:dyDescent="0.3">
      <c r="A37" s="78" t="s">
        <v>147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18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</row>
    <row r="38" spans="1:90" ht="20.100000000000001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38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</row>
    <row r="39" spans="1:90" ht="58.2" customHeight="1" x14ac:dyDescent="0.3">
      <c r="A39" s="2" t="s">
        <v>9</v>
      </c>
      <c r="B39" s="77" t="s">
        <v>8</v>
      </c>
      <c r="C39" s="77"/>
      <c r="D39" s="77"/>
      <c r="E39" s="77"/>
      <c r="F39" s="77"/>
      <c r="G39" s="77"/>
      <c r="H39" s="20" t="s">
        <v>9</v>
      </c>
      <c r="I39" s="20" t="s">
        <v>19</v>
      </c>
      <c r="J39" s="20" t="s">
        <v>0</v>
      </c>
      <c r="K39" s="20" t="s">
        <v>7</v>
      </c>
      <c r="L39" s="20" t="s">
        <v>6</v>
      </c>
      <c r="M39" s="20" t="s">
        <v>5</v>
      </c>
      <c r="N39" s="47" t="s">
        <v>94</v>
      </c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</row>
    <row r="40" spans="1:90" ht="51.6" customHeight="1" x14ac:dyDescent="0.3">
      <c r="A40" s="45" t="s">
        <v>59</v>
      </c>
      <c r="B40" s="72" t="s">
        <v>47</v>
      </c>
      <c r="C40" s="72"/>
      <c r="D40" s="72"/>
      <c r="E40" s="72"/>
      <c r="F40" s="72"/>
      <c r="G40" s="72"/>
      <c r="H40" s="21">
        <v>97799</v>
      </c>
      <c r="I40" s="21" t="s">
        <v>21</v>
      </c>
      <c r="J40" s="21" t="s">
        <v>16</v>
      </c>
      <c r="K40" s="34">
        <f>((PI()*(0.825^2))/2)*6</f>
        <v>6.4147394995486575</v>
      </c>
      <c r="L40" s="42">
        <v>471.06</v>
      </c>
      <c r="M40" s="42">
        <f>K40*L40</f>
        <v>3021.7271886573908</v>
      </c>
      <c r="N40" s="69">
        <f>M40*1.3129</f>
        <v>3967.2256259882884</v>
      </c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</row>
    <row r="41" spans="1:90" ht="51.6" customHeight="1" x14ac:dyDescent="0.3">
      <c r="A41" s="45" t="s">
        <v>60</v>
      </c>
      <c r="B41" s="72" t="s">
        <v>48</v>
      </c>
      <c r="C41" s="72"/>
      <c r="D41" s="72"/>
      <c r="E41" s="72"/>
      <c r="F41" s="72"/>
      <c r="G41" s="72"/>
      <c r="H41" s="21">
        <v>97751</v>
      </c>
      <c r="I41" s="21" t="s">
        <v>21</v>
      </c>
      <c r="J41" s="21" t="s">
        <v>16</v>
      </c>
      <c r="K41" s="34">
        <f>K40+K21</f>
        <v>13.34195130071415</v>
      </c>
      <c r="L41" s="42">
        <v>551.14</v>
      </c>
      <c r="M41" s="42">
        <f>K41*L41</f>
        <v>7353.2830398755968</v>
      </c>
      <c r="N41" s="69">
        <f>M41*1.3129</f>
        <v>9654.1253030526714</v>
      </c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</row>
    <row r="42" spans="1:90" ht="51.6" customHeight="1" x14ac:dyDescent="0.3">
      <c r="A42" s="45" t="s">
        <v>61</v>
      </c>
      <c r="B42" s="72" t="s">
        <v>83</v>
      </c>
      <c r="C42" s="72"/>
      <c r="D42" s="72"/>
      <c r="E42" s="72"/>
      <c r="F42" s="72"/>
      <c r="G42" s="76"/>
      <c r="H42" s="21" t="s">
        <v>82</v>
      </c>
      <c r="I42" s="21" t="s">
        <v>77</v>
      </c>
      <c r="J42" s="21" t="s">
        <v>16</v>
      </c>
      <c r="K42" s="34">
        <f>(0.8*0.65*1*6)+(3*(0.3*0.8*0.65))</f>
        <v>3.5880000000000001</v>
      </c>
      <c r="L42" s="42">
        <v>324.62</v>
      </c>
      <c r="M42" s="42">
        <f>K42*L42</f>
        <v>1164.7365600000001</v>
      </c>
      <c r="N42" s="69">
        <f>M42*1.3129</f>
        <v>1529.1826296240001</v>
      </c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</row>
    <row r="43" spans="1:90" ht="20.100000000000001" customHeight="1" x14ac:dyDescent="0.3">
      <c r="A43" s="73" t="s">
        <v>23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49">
        <f>SUM(M40:M42)</f>
        <v>11539.746788532988</v>
      </c>
      <c r="N43" s="49">
        <f>SUM(N40:N42)</f>
        <v>15150.53355866496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</row>
    <row r="44" spans="1:90" ht="20.100000000000001" customHeight="1" x14ac:dyDescent="0.3">
      <c r="A44" s="22"/>
      <c r="B44" s="22"/>
      <c r="C44" s="22"/>
      <c r="D44" s="22"/>
      <c r="E44" s="22"/>
      <c r="F44" s="22"/>
      <c r="G44" s="22"/>
      <c r="H44" s="22"/>
      <c r="I44" s="22"/>
      <c r="J44" s="6"/>
      <c r="K44" s="6"/>
      <c r="L44" s="6"/>
      <c r="M44" s="19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</row>
    <row r="45" spans="1:90" s="18" customFormat="1" ht="19.5" customHeight="1" x14ac:dyDescent="0.3">
      <c r="A45" s="78" t="s">
        <v>148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</row>
    <row r="46" spans="1:90" ht="5.099999999999999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</row>
    <row r="47" spans="1:90" ht="58.5" customHeight="1" x14ac:dyDescent="0.3">
      <c r="A47" s="2" t="s">
        <v>9</v>
      </c>
      <c r="B47" s="77" t="s">
        <v>8</v>
      </c>
      <c r="C47" s="77"/>
      <c r="D47" s="77"/>
      <c r="E47" s="77"/>
      <c r="F47" s="77"/>
      <c r="G47" s="77"/>
      <c r="H47" s="20" t="s">
        <v>9</v>
      </c>
      <c r="I47" s="20" t="s">
        <v>19</v>
      </c>
      <c r="J47" s="20" t="s">
        <v>0</v>
      </c>
      <c r="K47" s="20" t="s">
        <v>7</v>
      </c>
      <c r="L47" s="20" t="s">
        <v>6</v>
      </c>
      <c r="M47" s="20" t="s">
        <v>5</v>
      </c>
      <c r="N47" s="47" t="s">
        <v>94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</row>
    <row r="48" spans="1:90" ht="5.0999999999999996" customHeight="1" x14ac:dyDescent="0.3">
      <c r="A48" s="31"/>
      <c r="B48" s="22"/>
      <c r="C48" s="22"/>
      <c r="D48" s="22"/>
      <c r="E48" s="22"/>
      <c r="F48" s="22"/>
      <c r="G48" s="22"/>
      <c r="H48" s="22"/>
      <c r="I48" s="22"/>
      <c r="J48" s="5"/>
      <c r="K48" s="4"/>
      <c r="L48" s="3"/>
      <c r="M48" s="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</row>
    <row r="49" spans="1:90" ht="40.200000000000003" customHeight="1" x14ac:dyDescent="0.3">
      <c r="A49" s="45" t="s">
        <v>127</v>
      </c>
      <c r="B49" s="72" t="s">
        <v>84</v>
      </c>
      <c r="C49" s="72"/>
      <c r="D49" s="72"/>
      <c r="E49" s="72"/>
      <c r="F49" s="72"/>
      <c r="G49" s="76"/>
      <c r="H49" s="21" t="s">
        <v>85</v>
      </c>
      <c r="I49" s="21" t="s">
        <v>77</v>
      </c>
      <c r="J49" s="21" t="s">
        <v>16</v>
      </c>
      <c r="K49" s="34">
        <v>0.9</v>
      </c>
      <c r="L49" s="42">
        <v>334.07</v>
      </c>
      <c r="M49" s="42">
        <f t="shared" ref="M49:M60" si="6">K49*L49</f>
        <v>300.66300000000001</v>
      </c>
      <c r="N49" s="69">
        <f t="shared" ref="N49:N60" si="7">M49*1.3129</f>
        <v>394.74045269999999</v>
      </c>
    </row>
    <row r="50" spans="1:90" ht="40.200000000000003" customHeight="1" x14ac:dyDescent="0.3">
      <c r="A50" s="45" t="s">
        <v>128</v>
      </c>
      <c r="B50" s="72" t="s">
        <v>88</v>
      </c>
      <c r="C50" s="72"/>
      <c r="D50" s="72"/>
      <c r="E50" s="72"/>
      <c r="F50" s="72"/>
      <c r="G50" s="76"/>
      <c r="H50" s="21">
        <v>72895</v>
      </c>
      <c r="I50" s="21" t="s">
        <v>21</v>
      </c>
      <c r="J50" s="21" t="s">
        <v>16</v>
      </c>
      <c r="K50" s="34">
        <f>K49+K42</f>
        <v>4.4880000000000004</v>
      </c>
      <c r="L50" s="42">
        <v>21.01</v>
      </c>
      <c r="M50" s="42">
        <f>L50*K50</f>
        <v>94.292880000000011</v>
      </c>
      <c r="N50" s="69">
        <f t="shared" si="7"/>
        <v>123.79712215200001</v>
      </c>
    </row>
    <row r="51" spans="1:90" ht="40.200000000000003" customHeight="1" x14ac:dyDescent="0.3">
      <c r="A51" s="45" t="s">
        <v>129</v>
      </c>
      <c r="B51" s="72" t="s">
        <v>50</v>
      </c>
      <c r="C51" s="72"/>
      <c r="D51" s="72"/>
      <c r="E51" s="72"/>
      <c r="F51" s="72"/>
      <c r="G51" s="72"/>
      <c r="H51" s="21">
        <v>92791</v>
      </c>
      <c r="I51" s="21" t="s">
        <v>21</v>
      </c>
      <c r="J51" s="21" t="s">
        <v>27</v>
      </c>
      <c r="K51" s="34">
        <v>18.690000000000001</v>
      </c>
      <c r="L51" s="42">
        <v>6.48</v>
      </c>
      <c r="M51" s="42">
        <f t="shared" si="6"/>
        <v>121.11120000000001</v>
      </c>
      <c r="N51" s="69">
        <f t="shared" si="7"/>
        <v>159.00689448</v>
      </c>
    </row>
    <row r="52" spans="1:90" ht="40.200000000000003" customHeight="1" x14ac:dyDescent="0.3">
      <c r="A52" s="45" t="s">
        <v>130</v>
      </c>
      <c r="B52" s="72" t="s">
        <v>49</v>
      </c>
      <c r="C52" s="72"/>
      <c r="D52" s="72"/>
      <c r="E52" s="72"/>
      <c r="F52" s="72"/>
      <c r="G52" s="72"/>
      <c r="H52" s="21">
        <v>92792</v>
      </c>
      <c r="I52" s="21" t="s">
        <v>21</v>
      </c>
      <c r="J52" s="21" t="s">
        <v>27</v>
      </c>
      <c r="K52" s="34">
        <v>66.02</v>
      </c>
      <c r="L52" s="42">
        <v>6.08</v>
      </c>
      <c r="M52" s="42">
        <f t="shared" si="6"/>
        <v>401.40159999999997</v>
      </c>
      <c r="N52" s="69">
        <f t="shared" si="7"/>
        <v>527.00016063999999</v>
      </c>
    </row>
    <row r="53" spans="1:90" ht="40.200000000000003" customHeight="1" x14ac:dyDescent="0.3">
      <c r="A53" s="45" t="s">
        <v>131</v>
      </c>
      <c r="B53" s="72" t="s">
        <v>28</v>
      </c>
      <c r="C53" s="72"/>
      <c r="D53" s="72"/>
      <c r="E53" s="72"/>
      <c r="F53" s="72"/>
      <c r="G53" s="72"/>
      <c r="H53" s="21">
        <v>92793</v>
      </c>
      <c r="I53" s="21" t="s">
        <v>21</v>
      </c>
      <c r="J53" s="21" t="s">
        <v>27</v>
      </c>
      <c r="K53" s="34">
        <v>29.23</v>
      </c>
      <c r="L53" s="42">
        <v>6.56</v>
      </c>
      <c r="M53" s="42">
        <f t="shared" si="6"/>
        <v>191.74879999999999</v>
      </c>
      <c r="N53" s="69">
        <f t="shared" si="7"/>
        <v>251.74699951999997</v>
      </c>
    </row>
    <row r="54" spans="1:90" ht="40.200000000000003" customHeight="1" x14ac:dyDescent="0.3">
      <c r="A54" s="45" t="s">
        <v>132</v>
      </c>
      <c r="B54" s="72" t="s">
        <v>29</v>
      </c>
      <c r="C54" s="72"/>
      <c r="D54" s="72"/>
      <c r="E54" s="72"/>
      <c r="F54" s="72"/>
      <c r="G54" s="72"/>
      <c r="H54" s="21">
        <v>92794</v>
      </c>
      <c r="I54" s="21" t="s">
        <v>21</v>
      </c>
      <c r="J54" s="21" t="s">
        <v>27</v>
      </c>
      <c r="K54" s="34">
        <v>184.25</v>
      </c>
      <c r="L54" s="42">
        <v>5.46</v>
      </c>
      <c r="M54" s="42">
        <f t="shared" si="6"/>
        <v>1006.005</v>
      </c>
      <c r="N54" s="69">
        <f t="shared" si="7"/>
        <v>1320.7839644999999</v>
      </c>
    </row>
    <row r="55" spans="1:90" ht="40.200000000000003" customHeight="1" x14ac:dyDescent="0.3">
      <c r="A55" s="45" t="s">
        <v>133</v>
      </c>
      <c r="B55" s="72" t="s">
        <v>30</v>
      </c>
      <c r="C55" s="72"/>
      <c r="D55" s="72"/>
      <c r="E55" s="72"/>
      <c r="F55" s="72"/>
      <c r="G55" s="72"/>
      <c r="H55" s="21">
        <v>92796</v>
      </c>
      <c r="I55" s="21" t="s">
        <v>21</v>
      </c>
      <c r="J55" s="21" t="s">
        <v>27</v>
      </c>
      <c r="K55" s="34">
        <v>173.26</v>
      </c>
      <c r="L55" s="42">
        <v>5.03</v>
      </c>
      <c r="M55" s="42">
        <f t="shared" si="6"/>
        <v>871.49779999999998</v>
      </c>
      <c r="N55" s="69">
        <f t="shared" si="7"/>
        <v>1144.18946162</v>
      </c>
    </row>
    <row r="56" spans="1:90" ht="40.200000000000003" customHeight="1" x14ac:dyDescent="0.3">
      <c r="A56" s="45" t="s">
        <v>134</v>
      </c>
      <c r="B56" s="72" t="s">
        <v>31</v>
      </c>
      <c r="C56" s="72"/>
      <c r="D56" s="72"/>
      <c r="E56" s="72"/>
      <c r="F56" s="72"/>
      <c r="G56" s="72"/>
      <c r="H56" s="21">
        <v>92797</v>
      </c>
      <c r="I56" s="21" t="s">
        <v>21</v>
      </c>
      <c r="J56" s="21" t="s">
        <v>27</v>
      </c>
      <c r="K56" s="34">
        <v>106.27</v>
      </c>
      <c r="L56" s="42">
        <v>4.8</v>
      </c>
      <c r="M56" s="42">
        <f t="shared" si="6"/>
        <v>510.09599999999995</v>
      </c>
      <c r="N56" s="69">
        <f t="shared" si="7"/>
        <v>669.70503839999992</v>
      </c>
    </row>
    <row r="57" spans="1:90" ht="40.200000000000003" customHeight="1" x14ac:dyDescent="0.3">
      <c r="A57" s="45" t="s">
        <v>135</v>
      </c>
      <c r="B57" s="72" t="s">
        <v>32</v>
      </c>
      <c r="C57" s="72"/>
      <c r="D57" s="72"/>
      <c r="E57" s="72"/>
      <c r="F57" s="72"/>
      <c r="G57" s="72"/>
      <c r="H57" s="21">
        <v>34562</v>
      </c>
      <c r="I57" s="21" t="s">
        <v>21</v>
      </c>
      <c r="J57" s="21" t="s">
        <v>27</v>
      </c>
      <c r="K57" s="34">
        <f>0.2*(SUM(K51:K56))</f>
        <v>115.54400000000001</v>
      </c>
      <c r="L57" s="42">
        <v>10.28</v>
      </c>
      <c r="M57" s="42">
        <f t="shared" si="6"/>
        <v>1187.79232</v>
      </c>
      <c r="N57" s="69">
        <f t="shared" si="7"/>
        <v>1559.452536928</v>
      </c>
    </row>
    <row r="58" spans="1:90" ht="40.200000000000003" customHeight="1" x14ac:dyDescent="0.3">
      <c r="A58" s="45" t="s">
        <v>136</v>
      </c>
      <c r="B58" s="72" t="s">
        <v>91</v>
      </c>
      <c r="C58" s="72"/>
      <c r="D58" s="72"/>
      <c r="E58" s="72"/>
      <c r="F58" s="72"/>
      <c r="G58" s="72"/>
      <c r="H58" s="21">
        <v>88309</v>
      </c>
      <c r="I58" s="21" t="s">
        <v>21</v>
      </c>
      <c r="J58" s="21" t="s">
        <v>92</v>
      </c>
      <c r="K58" s="34">
        <f>40*4</f>
        <v>160</v>
      </c>
      <c r="L58" s="42">
        <v>17.79</v>
      </c>
      <c r="M58" s="42">
        <f t="shared" si="6"/>
        <v>2846.3999999999996</v>
      </c>
      <c r="N58" s="69">
        <f t="shared" si="7"/>
        <v>3737.0385599999995</v>
      </c>
    </row>
    <row r="59" spans="1:90" ht="52.2" customHeight="1" x14ac:dyDescent="0.3">
      <c r="A59" s="45" t="s">
        <v>137</v>
      </c>
      <c r="B59" s="72" t="s">
        <v>75</v>
      </c>
      <c r="C59" s="72"/>
      <c r="D59" s="72"/>
      <c r="E59" s="72"/>
      <c r="F59" s="72"/>
      <c r="G59" s="72"/>
      <c r="H59" s="21">
        <v>92409</v>
      </c>
      <c r="I59" s="21" t="s">
        <v>21</v>
      </c>
      <c r="J59" s="21" t="s">
        <v>15</v>
      </c>
      <c r="K59" s="34">
        <v>45.3</v>
      </c>
      <c r="L59" s="42">
        <v>148.38999999999999</v>
      </c>
      <c r="M59" s="42">
        <f t="shared" si="6"/>
        <v>6722.0669999999991</v>
      </c>
      <c r="N59" s="69">
        <f t="shared" si="7"/>
        <v>8825.4017642999988</v>
      </c>
    </row>
    <row r="60" spans="1:90" ht="33.6" customHeight="1" x14ac:dyDescent="0.3">
      <c r="A60" s="45" t="s">
        <v>138</v>
      </c>
      <c r="B60" s="72" t="s">
        <v>33</v>
      </c>
      <c r="C60" s="72"/>
      <c r="D60" s="72"/>
      <c r="E60" s="72"/>
      <c r="F60" s="72"/>
      <c r="G60" s="72"/>
      <c r="H60" s="21">
        <v>92273</v>
      </c>
      <c r="I60" s="21" t="s">
        <v>21</v>
      </c>
      <c r="J60" s="21" t="s">
        <v>4</v>
      </c>
      <c r="K60" s="34">
        <f>12*3</f>
        <v>36</v>
      </c>
      <c r="L60" s="42">
        <v>6.26</v>
      </c>
      <c r="M60" s="42">
        <f t="shared" si="6"/>
        <v>225.35999999999999</v>
      </c>
      <c r="N60" s="69">
        <f t="shared" si="7"/>
        <v>295.87514399999998</v>
      </c>
    </row>
    <row r="61" spans="1:90" ht="33.6" customHeight="1" x14ac:dyDescent="0.3">
      <c r="A61" s="73" t="s">
        <v>23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49">
        <f>SUM(M49:M60)</f>
        <v>14478.435599999999</v>
      </c>
      <c r="N61" s="49">
        <f>SUM(N49:N60)</f>
        <v>19008.738099239999</v>
      </c>
    </row>
    <row r="62" spans="1:90" ht="15" customHeight="1" x14ac:dyDescent="0.3"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</row>
    <row r="63" spans="1:90" s="18" customFormat="1" ht="15" customHeight="1" x14ac:dyDescent="0.3">
      <c r="A63" s="71" t="s">
        <v>149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</row>
    <row r="64" spans="1:90" s="18" customFormat="1" ht="1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</row>
    <row r="65" spans="1:90" s="18" customFormat="1" ht="51.75" customHeight="1" x14ac:dyDescent="0.3">
      <c r="A65" s="2" t="s">
        <v>9</v>
      </c>
      <c r="B65" s="77" t="s">
        <v>8</v>
      </c>
      <c r="C65" s="77"/>
      <c r="D65" s="77"/>
      <c r="E65" s="77"/>
      <c r="F65" s="77"/>
      <c r="G65" s="77"/>
      <c r="H65" s="20" t="s">
        <v>9</v>
      </c>
      <c r="I65" s="20" t="s">
        <v>19</v>
      </c>
      <c r="J65" s="20" t="s">
        <v>0</v>
      </c>
      <c r="K65" s="20" t="s">
        <v>7</v>
      </c>
      <c r="L65" s="20" t="s">
        <v>6</v>
      </c>
      <c r="M65" s="20" t="s">
        <v>5</v>
      </c>
      <c r="N65" s="47" t="s">
        <v>94</v>
      </c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</row>
    <row r="66" spans="1:90" s="18" customFormat="1" ht="51.75" customHeight="1" x14ac:dyDescent="0.3">
      <c r="A66" s="45" t="s">
        <v>150</v>
      </c>
      <c r="B66" s="72" t="s">
        <v>86</v>
      </c>
      <c r="C66" s="72"/>
      <c r="D66" s="72"/>
      <c r="E66" s="72"/>
      <c r="F66" s="72"/>
      <c r="G66" s="72"/>
      <c r="H66" s="21">
        <v>83736</v>
      </c>
      <c r="I66" s="21" t="s">
        <v>21</v>
      </c>
      <c r="J66" s="21" t="s">
        <v>15</v>
      </c>
      <c r="K66" s="34">
        <v>3.45</v>
      </c>
      <c r="L66" s="42">
        <v>157.74</v>
      </c>
      <c r="M66" s="42">
        <f>K66*L66</f>
        <v>544.20300000000009</v>
      </c>
      <c r="N66" s="69">
        <f>M66*1.3129</f>
        <v>714.48411870000007</v>
      </c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</row>
    <row r="67" spans="1:90" s="18" customFormat="1" ht="51.75" customHeight="1" x14ac:dyDescent="0.3">
      <c r="A67" s="45" t="s">
        <v>151</v>
      </c>
      <c r="B67" s="72" t="s">
        <v>58</v>
      </c>
      <c r="C67" s="72"/>
      <c r="D67" s="72"/>
      <c r="E67" s="72"/>
      <c r="F67" s="72"/>
      <c r="G67" s="72"/>
      <c r="H67" s="21">
        <v>90285</v>
      </c>
      <c r="I67" s="21" t="s">
        <v>21</v>
      </c>
      <c r="J67" s="21" t="s">
        <v>16</v>
      </c>
      <c r="K67" s="34">
        <v>1.53</v>
      </c>
      <c r="L67" s="42">
        <v>328.81</v>
      </c>
      <c r="M67" s="42">
        <f>K67*L67</f>
        <v>503.07929999999999</v>
      </c>
      <c r="N67" s="69">
        <f>M67*1.3129</f>
        <v>660.49281296999993</v>
      </c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</row>
    <row r="68" spans="1:90" ht="39.6" customHeight="1" x14ac:dyDescent="0.3">
      <c r="A68" s="45" t="s">
        <v>152</v>
      </c>
      <c r="B68" s="72" t="s">
        <v>96</v>
      </c>
      <c r="C68" s="72"/>
      <c r="D68" s="72"/>
      <c r="E68" s="72"/>
      <c r="F68" s="72"/>
      <c r="G68" s="72"/>
      <c r="H68" s="21">
        <v>98680</v>
      </c>
      <c r="I68" s="21" t="s">
        <v>21</v>
      </c>
      <c r="J68" s="21" t="s">
        <v>15</v>
      </c>
      <c r="K68" s="34">
        <f>9.138*1.2</f>
        <v>10.9656</v>
      </c>
      <c r="L68" s="42">
        <v>27.02</v>
      </c>
      <c r="M68" s="42">
        <f t="shared" ref="M68:M88" si="8">K68*L68</f>
        <v>296.29051199999998</v>
      </c>
      <c r="N68" s="69">
        <f>M68*1.3129</f>
        <v>388.99981320479998</v>
      </c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</row>
    <row r="69" spans="1:90" ht="63.75" customHeight="1" x14ac:dyDescent="0.3">
      <c r="A69" s="45" t="s">
        <v>153</v>
      </c>
      <c r="B69" s="72" t="s">
        <v>72</v>
      </c>
      <c r="C69" s="72"/>
      <c r="D69" s="72"/>
      <c r="E69" s="72"/>
      <c r="F69" s="72"/>
      <c r="G69" s="72"/>
      <c r="H69" s="21">
        <v>87466</v>
      </c>
      <c r="I69" s="21" t="s">
        <v>21</v>
      </c>
      <c r="J69" s="21" t="s">
        <v>15</v>
      </c>
      <c r="K69" s="34">
        <f>25.5*1.03</f>
        <v>26.265000000000001</v>
      </c>
      <c r="L69" s="42">
        <v>39.090000000000003</v>
      </c>
      <c r="M69" s="42">
        <f t="shared" si="8"/>
        <v>1026.6988500000002</v>
      </c>
      <c r="N69" s="69">
        <f t="shared" ref="N69:N88" si="9">M69*1.3129</f>
        <v>1347.9529201650003</v>
      </c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</row>
    <row r="70" spans="1:90" ht="63.75" customHeight="1" x14ac:dyDescent="0.3">
      <c r="A70" s="45" t="s">
        <v>154</v>
      </c>
      <c r="B70" s="72" t="s">
        <v>35</v>
      </c>
      <c r="C70" s="72"/>
      <c r="D70" s="72"/>
      <c r="E70" s="72"/>
      <c r="F70" s="72"/>
      <c r="G70" s="72"/>
      <c r="H70" s="21">
        <v>87871</v>
      </c>
      <c r="I70" s="21" t="s">
        <v>21</v>
      </c>
      <c r="J70" s="21" t="s">
        <v>15</v>
      </c>
      <c r="K70" s="34">
        <f>351.87*1.2</f>
        <v>422.24399999999997</v>
      </c>
      <c r="L70" s="42">
        <v>12.03</v>
      </c>
      <c r="M70" s="42">
        <f t="shared" si="8"/>
        <v>5079.5953199999994</v>
      </c>
      <c r="N70" s="69">
        <f t="shared" si="9"/>
        <v>6669.0006956279994</v>
      </c>
    </row>
    <row r="71" spans="1:90" ht="63.75" customHeight="1" x14ac:dyDescent="0.3">
      <c r="A71" s="45" t="s">
        <v>155</v>
      </c>
      <c r="B71" s="72" t="s">
        <v>36</v>
      </c>
      <c r="C71" s="72"/>
      <c r="D71" s="72"/>
      <c r="E71" s="72"/>
      <c r="F71" s="72"/>
      <c r="G71" s="72"/>
      <c r="H71" s="21">
        <v>87283</v>
      </c>
      <c r="I71" s="21" t="s">
        <v>21</v>
      </c>
      <c r="J71" s="21" t="s">
        <v>16</v>
      </c>
      <c r="K71" s="34">
        <f>351.87*1.3*0.02</f>
        <v>9.1486200000000011</v>
      </c>
      <c r="L71" s="42">
        <v>276.69</v>
      </c>
      <c r="M71" s="42">
        <f t="shared" si="8"/>
        <v>2531.3316678000001</v>
      </c>
      <c r="N71" s="69">
        <f t="shared" si="9"/>
        <v>3323.3853466546202</v>
      </c>
    </row>
    <row r="72" spans="1:90" ht="37.950000000000003" customHeight="1" x14ac:dyDescent="0.3">
      <c r="A72" s="45" t="s">
        <v>156</v>
      </c>
      <c r="B72" s="72" t="s">
        <v>37</v>
      </c>
      <c r="C72" s="72"/>
      <c r="D72" s="72"/>
      <c r="E72" s="72"/>
      <c r="F72" s="72"/>
      <c r="G72" s="72"/>
      <c r="H72" s="21">
        <v>5998</v>
      </c>
      <c r="I72" s="21" t="s">
        <v>21</v>
      </c>
      <c r="J72" s="21" t="s">
        <v>15</v>
      </c>
      <c r="K72" s="34">
        <f>K70</f>
        <v>422.24399999999997</v>
      </c>
      <c r="L72" s="42">
        <v>0.57999999999999996</v>
      </c>
      <c r="M72" s="42">
        <f t="shared" si="8"/>
        <v>244.90151999999998</v>
      </c>
      <c r="N72" s="69">
        <f t="shared" si="9"/>
        <v>321.53120560799994</v>
      </c>
    </row>
    <row r="73" spans="1:90" ht="37.950000000000003" customHeight="1" x14ac:dyDescent="0.3">
      <c r="A73" s="45" t="s">
        <v>157</v>
      </c>
      <c r="B73" s="72" t="s">
        <v>38</v>
      </c>
      <c r="C73" s="72"/>
      <c r="D73" s="72"/>
      <c r="E73" s="72"/>
      <c r="F73" s="72"/>
      <c r="G73" s="72"/>
      <c r="H73" s="21">
        <v>38124</v>
      </c>
      <c r="I73" s="21" t="s">
        <v>21</v>
      </c>
      <c r="J73" s="21" t="s">
        <v>0</v>
      </c>
      <c r="K73" s="34">
        <v>15</v>
      </c>
      <c r="L73" s="42">
        <v>23.65</v>
      </c>
      <c r="M73" s="42">
        <f t="shared" si="8"/>
        <v>354.75</v>
      </c>
      <c r="N73" s="69">
        <f t="shared" si="9"/>
        <v>465.75127499999996</v>
      </c>
    </row>
    <row r="74" spans="1:90" ht="37.950000000000003" customHeight="1" x14ac:dyDescent="0.3">
      <c r="A74" s="45" t="s">
        <v>158</v>
      </c>
      <c r="B74" s="72" t="s">
        <v>91</v>
      </c>
      <c r="C74" s="72"/>
      <c r="D74" s="72"/>
      <c r="E74" s="72"/>
      <c r="F74" s="72"/>
      <c r="G74" s="72"/>
      <c r="H74" s="21">
        <v>88309</v>
      </c>
      <c r="I74" s="21" t="s">
        <v>21</v>
      </c>
      <c r="J74" s="21" t="s">
        <v>92</v>
      </c>
      <c r="K74" s="34">
        <v>20</v>
      </c>
      <c r="L74" s="42">
        <v>17.79</v>
      </c>
      <c r="M74" s="42">
        <f t="shared" si="8"/>
        <v>355.79999999999995</v>
      </c>
      <c r="N74" s="69">
        <f t="shared" si="9"/>
        <v>467.12981999999994</v>
      </c>
    </row>
    <row r="75" spans="1:90" ht="37.950000000000003" customHeight="1" x14ac:dyDescent="0.3">
      <c r="A75" s="45" t="s">
        <v>159</v>
      </c>
      <c r="B75" s="72" t="s">
        <v>39</v>
      </c>
      <c r="C75" s="72"/>
      <c r="D75" s="72"/>
      <c r="E75" s="72"/>
      <c r="F75" s="72"/>
      <c r="G75" s="72"/>
      <c r="H75" s="21">
        <v>7307</v>
      </c>
      <c r="I75" s="21" t="s">
        <v>21</v>
      </c>
      <c r="J75" s="21" t="s">
        <v>116</v>
      </c>
      <c r="K75" s="34">
        <v>5</v>
      </c>
      <c r="L75" s="42">
        <v>27.11</v>
      </c>
      <c r="M75" s="42">
        <f t="shared" si="8"/>
        <v>135.55000000000001</v>
      </c>
      <c r="N75" s="69">
        <f t="shared" si="9"/>
        <v>177.963595</v>
      </c>
    </row>
    <row r="76" spans="1:90" ht="37.950000000000003" customHeight="1" x14ac:dyDescent="0.3">
      <c r="A76" s="45" t="s">
        <v>160</v>
      </c>
      <c r="B76" s="72" t="s">
        <v>91</v>
      </c>
      <c r="C76" s="72"/>
      <c r="D76" s="72"/>
      <c r="E76" s="72"/>
      <c r="F76" s="72"/>
      <c r="G76" s="72"/>
      <c r="H76" s="21">
        <v>88309</v>
      </c>
      <c r="I76" s="21" t="s">
        <v>21</v>
      </c>
      <c r="J76" s="21" t="s">
        <v>92</v>
      </c>
      <c r="K76" s="34">
        <v>20</v>
      </c>
      <c r="L76" s="42">
        <v>17.79</v>
      </c>
      <c r="M76" s="42">
        <f t="shared" ref="M76" si="10">K76*L76</f>
        <v>355.79999999999995</v>
      </c>
      <c r="N76" s="69">
        <f t="shared" si="9"/>
        <v>467.12981999999994</v>
      </c>
    </row>
    <row r="77" spans="1:90" ht="37.950000000000003" customHeight="1" x14ac:dyDescent="0.3">
      <c r="A77" s="45" t="s">
        <v>161</v>
      </c>
      <c r="B77" s="72" t="s">
        <v>40</v>
      </c>
      <c r="C77" s="72"/>
      <c r="D77" s="72"/>
      <c r="E77" s="72"/>
      <c r="F77" s="72"/>
      <c r="G77" s="72"/>
      <c r="H77" s="21" t="s">
        <v>41</v>
      </c>
      <c r="I77" s="21" t="s">
        <v>21</v>
      </c>
      <c r="J77" s="21" t="s">
        <v>15</v>
      </c>
      <c r="K77" s="34">
        <f>(16.6*0.4*4)+(2.8*0.4*3)</f>
        <v>29.92</v>
      </c>
      <c r="L77" s="42">
        <v>9.44</v>
      </c>
      <c r="M77" s="42">
        <f t="shared" si="8"/>
        <v>282.44479999999999</v>
      </c>
      <c r="N77" s="69">
        <f t="shared" si="9"/>
        <v>370.82177791999999</v>
      </c>
    </row>
    <row r="78" spans="1:90" ht="37.950000000000003" customHeight="1" x14ac:dyDescent="0.3">
      <c r="A78" s="45" t="s">
        <v>162</v>
      </c>
      <c r="B78" s="72" t="s">
        <v>74</v>
      </c>
      <c r="C78" s="72"/>
      <c r="D78" s="72"/>
      <c r="E78" s="72"/>
      <c r="F78" s="72"/>
      <c r="G78" s="72"/>
      <c r="H78" s="21" t="s">
        <v>51</v>
      </c>
      <c r="I78" s="21" t="s">
        <v>21</v>
      </c>
      <c r="J78" s="21" t="s">
        <v>15</v>
      </c>
      <c r="K78" s="34">
        <f>6*2*1.3</f>
        <v>15.600000000000001</v>
      </c>
      <c r="L78" s="42">
        <v>47.38</v>
      </c>
      <c r="M78" s="42">
        <f>L78*K78</f>
        <v>739.12800000000016</v>
      </c>
      <c r="N78" s="69">
        <f t="shared" si="9"/>
        <v>970.40115120000019</v>
      </c>
    </row>
    <row r="79" spans="1:90" x14ac:dyDescent="0.3">
      <c r="A79" s="73" t="s">
        <v>23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4"/>
      <c r="M79" s="49">
        <f>SUM(M66:M78)</f>
        <v>12449.572969799998</v>
      </c>
      <c r="N79" s="49">
        <f>SUM(N66:N78)</f>
        <v>16345.044352050421</v>
      </c>
    </row>
    <row r="80" spans="1:90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97"/>
      <c r="N80" s="97"/>
    </row>
    <row r="81" spans="1:87" ht="17.399999999999999" x14ac:dyDescent="0.3">
      <c r="A81" s="78" t="s">
        <v>165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18"/>
    </row>
    <row r="82" spans="1:87" ht="10.8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87" ht="37.950000000000003" customHeight="1" x14ac:dyDescent="0.3">
      <c r="A83" s="45" t="s">
        <v>163</v>
      </c>
      <c r="B83" s="72" t="s">
        <v>73</v>
      </c>
      <c r="C83" s="72"/>
      <c r="D83" s="72"/>
      <c r="E83" s="72"/>
      <c r="F83" s="72"/>
      <c r="G83" s="76"/>
      <c r="H83" s="21">
        <v>88489</v>
      </c>
      <c r="I83" s="21" t="s">
        <v>21</v>
      </c>
      <c r="J83" s="21" t="s">
        <v>15</v>
      </c>
      <c r="K83" s="34">
        <f>351.87*1.3</f>
        <v>457.43100000000004</v>
      </c>
      <c r="L83" s="42">
        <v>9.4</v>
      </c>
      <c r="M83" s="42">
        <f t="shared" si="8"/>
        <v>4299.8514000000005</v>
      </c>
      <c r="N83" s="69">
        <f t="shared" si="9"/>
        <v>5645.2749030600007</v>
      </c>
    </row>
    <row r="84" spans="1:87" ht="37.950000000000003" customHeight="1" x14ac:dyDescent="0.3">
      <c r="A84" s="45" t="s">
        <v>164</v>
      </c>
      <c r="B84" s="72" t="s">
        <v>52</v>
      </c>
      <c r="C84" s="72"/>
      <c r="D84" s="72"/>
      <c r="E84" s="72"/>
      <c r="F84" s="72"/>
      <c r="G84" s="72"/>
      <c r="H84" s="21">
        <v>88486</v>
      </c>
      <c r="I84" s="21" t="s">
        <v>21</v>
      </c>
      <c r="J84" s="21" t="s">
        <v>15</v>
      </c>
      <c r="K84" s="34">
        <f>K78*1.3</f>
        <v>20.28</v>
      </c>
      <c r="L84" s="42">
        <v>8.3000000000000007</v>
      </c>
      <c r="M84" s="42">
        <f t="shared" si="8"/>
        <v>168.32400000000001</v>
      </c>
      <c r="N84" s="69">
        <f t="shared" si="9"/>
        <v>220.9925796</v>
      </c>
    </row>
    <row r="85" spans="1:87" ht="37.950000000000003" customHeight="1" x14ac:dyDescent="0.3">
      <c r="A85" s="73" t="s">
        <v>23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4"/>
      <c r="M85" s="49">
        <f>SUM(M83:M84)</f>
        <v>4468.1754000000001</v>
      </c>
      <c r="N85" s="49">
        <f>SUM(N83:N84)</f>
        <v>5866.2674826600005</v>
      </c>
    </row>
    <row r="86" spans="1:87" ht="17.399999999999999" x14ac:dyDescent="0.3">
      <c r="A86" s="78" t="s">
        <v>166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18"/>
    </row>
    <row r="87" spans="1:87" s="53" customFormat="1" ht="9.6" customHeight="1" x14ac:dyDescent="0.3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</row>
    <row r="88" spans="1:87" ht="37.950000000000003" customHeight="1" x14ac:dyDescent="0.3">
      <c r="A88" s="45">
        <v>7.1</v>
      </c>
      <c r="B88" s="72" t="s">
        <v>53</v>
      </c>
      <c r="C88" s="72"/>
      <c r="D88" s="72"/>
      <c r="E88" s="72"/>
      <c r="F88" s="72"/>
      <c r="G88" s="72"/>
      <c r="H88" s="21">
        <v>9537</v>
      </c>
      <c r="I88" s="21" t="s">
        <v>21</v>
      </c>
      <c r="J88" s="21" t="s">
        <v>15</v>
      </c>
      <c r="K88" s="34">
        <v>700</v>
      </c>
      <c r="L88" s="42">
        <v>1.98</v>
      </c>
      <c r="M88" s="42">
        <f t="shared" si="8"/>
        <v>1386</v>
      </c>
      <c r="N88" s="69">
        <f t="shared" si="9"/>
        <v>1819.6794</v>
      </c>
      <c r="S88" s="53"/>
      <c r="T88" s="53"/>
      <c r="U88" s="53"/>
      <c r="V88" s="53"/>
      <c r="W88" s="53"/>
      <c r="X88" s="53"/>
    </row>
    <row r="89" spans="1:87" x14ac:dyDescent="0.3">
      <c r="A89" s="73" t="s">
        <v>23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4"/>
      <c r="M89" s="49">
        <f>SUM(M88)</f>
        <v>1386</v>
      </c>
      <c r="N89" s="49">
        <f>SUM(N88)</f>
        <v>1819.6794</v>
      </c>
      <c r="O89" s="6"/>
      <c r="P89" s="6"/>
      <c r="Q89" s="6"/>
      <c r="R89" s="6"/>
      <c r="S89" s="51"/>
      <c r="T89" s="51"/>
      <c r="U89" s="51"/>
      <c r="V89" s="51"/>
      <c r="W89" s="51"/>
      <c r="X89" s="51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</row>
    <row r="90" spans="1:87" s="18" customFormat="1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7"/>
      <c r="N90" s="38"/>
      <c r="O90" s="38"/>
      <c r="P90" s="38"/>
      <c r="Q90" s="38"/>
      <c r="R90" s="38"/>
      <c r="S90" s="44"/>
      <c r="T90" s="44"/>
      <c r="U90" s="44"/>
      <c r="V90" s="44"/>
      <c r="W90" s="44"/>
      <c r="X90" s="44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</row>
    <row r="91" spans="1:87" ht="36.75" customHeight="1" thickBot="1" x14ac:dyDescent="0.35">
      <c r="A91" s="23"/>
      <c r="B91" s="85" t="s">
        <v>24</v>
      </c>
      <c r="C91" s="85"/>
      <c r="D91" s="85"/>
      <c r="E91" s="85"/>
      <c r="F91" s="85"/>
      <c r="G91" s="85"/>
      <c r="H91" s="24"/>
      <c r="I91" s="24"/>
      <c r="J91" s="23"/>
      <c r="K91" s="23"/>
      <c r="L91" s="23"/>
      <c r="M91" s="25">
        <f>M89+M85+M79+M61+M43+M35+M23</f>
        <v>146491.0556124782</v>
      </c>
      <c r="N91" s="48"/>
      <c r="O91" s="39"/>
      <c r="P91" s="39"/>
      <c r="Q91" s="39"/>
      <c r="R91" s="39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</row>
    <row r="92" spans="1:87" ht="36.75" customHeight="1" thickBot="1" x14ac:dyDescent="0.35">
      <c r="A92" s="26"/>
      <c r="B92" s="90" t="s">
        <v>98</v>
      </c>
      <c r="C92" s="90"/>
      <c r="D92" s="90"/>
      <c r="E92" s="90"/>
      <c r="F92" s="90"/>
      <c r="G92" s="90"/>
      <c r="H92" s="26"/>
      <c r="I92" s="26"/>
      <c r="J92" s="26"/>
      <c r="K92" s="26"/>
      <c r="L92" s="26"/>
      <c r="M92" s="27">
        <f>M91*0.3129</f>
        <v>45837.051301144435</v>
      </c>
      <c r="S92" s="53"/>
      <c r="T92" s="53"/>
      <c r="U92" s="52"/>
      <c r="V92" s="52"/>
      <c r="W92" s="53"/>
      <c r="X92" s="53"/>
    </row>
    <row r="93" spans="1:87" ht="36.75" customHeight="1" x14ac:dyDescent="0.3">
      <c r="A93" s="28"/>
      <c r="B93" s="89" t="s">
        <v>17</v>
      </c>
      <c r="C93" s="89"/>
      <c r="D93" s="89"/>
      <c r="E93" s="89"/>
      <c r="F93" s="89"/>
      <c r="G93" s="89"/>
      <c r="H93" s="29"/>
      <c r="I93" s="29"/>
      <c r="J93" s="28"/>
      <c r="K93" s="28"/>
      <c r="L93" s="28"/>
      <c r="M93" s="30">
        <f>N89+N85+N79+N61+N43+N35+N23</f>
        <v>192328.10691362264</v>
      </c>
      <c r="S93" s="53"/>
      <c r="T93" s="53"/>
      <c r="U93" s="54"/>
      <c r="V93" s="54"/>
      <c r="W93" s="53"/>
      <c r="X93" s="53"/>
    </row>
    <row r="94" spans="1:87" x14ac:dyDescent="0.3">
      <c r="S94" s="53"/>
      <c r="T94" s="53"/>
      <c r="U94" s="52"/>
      <c r="V94" s="52"/>
      <c r="W94" s="53"/>
      <c r="X94" s="53"/>
    </row>
    <row r="95" spans="1:87" ht="20.100000000000001" customHeight="1" x14ac:dyDescent="0.3">
      <c r="A95" s="6"/>
      <c r="B95" s="22"/>
      <c r="C95" s="22"/>
      <c r="D95" s="22"/>
      <c r="E95" s="87"/>
      <c r="F95" s="87"/>
      <c r="G95" s="87"/>
      <c r="H95" s="87"/>
      <c r="I95" s="22"/>
      <c r="J95" s="6"/>
      <c r="K95" s="6"/>
      <c r="L95" s="6"/>
      <c r="M95" s="19"/>
      <c r="S95" s="53"/>
      <c r="T95" s="53"/>
      <c r="U95" s="52"/>
      <c r="V95" s="52"/>
      <c r="W95" s="53"/>
      <c r="X95" s="53"/>
    </row>
    <row r="96" spans="1:87" ht="78" customHeight="1" x14ac:dyDescent="0.3">
      <c r="A96" s="39"/>
      <c r="B96" s="86" t="s">
        <v>25</v>
      </c>
      <c r="C96" s="86"/>
      <c r="D96" s="86"/>
      <c r="E96" s="88" t="s">
        <v>26</v>
      </c>
      <c r="F96" s="88"/>
      <c r="G96" s="88"/>
      <c r="H96" s="88"/>
      <c r="I96" s="88"/>
      <c r="J96" s="39"/>
      <c r="K96" s="39"/>
      <c r="L96" s="39"/>
      <c r="M96" s="19"/>
      <c r="S96" s="53"/>
      <c r="T96" s="53"/>
      <c r="U96" s="52"/>
      <c r="V96" s="52"/>
      <c r="W96" s="53"/>
      <c r="X96" s="53"/>
    </row>
    <row r="97" spans="1:13" ht="39.75" customHeight="1" x14ac:dyDescent="0.3">
      <c r="A97" s="39"/>
      <c r="B97" s="40"/>
      <c r="C97" s="40"/>
      <c r="D97" s="40"/>
      <c r="E97" s="40"/>
      <c r="F97" s="40"/>
      <c r="G97" s="40"/>
      <c r="H97" s="40"/>
      <c r="I97" s="40"/>
      <c r="J97" s="39"/>
      <c r="K97" s="39"/>
      <c r="L97" s="39"/>
      <c r="M97" s="19"/>
    </row>
    <row r="98" spans="1:13" ht="20.100000000000001" customHeight="1" x14ac:dyDescent="0.3"/>
    <row r="99" spans="1:13" ht="20.100000000000001" customHeight="1" x14ac:dyDescent="0.3"/>
    <row r="100" spans="1:13" ht="20.100000000000001" customHeight="1" x14ac:dyDescent="0.3"/>
    <row r="101" spans="1:13" ht="20.100000000000001" customHeight="1" x14ac:dyDescent="0.3"/>
    <row r="102" spans="1:13" ht="20.100000000000001" customHeight="1" x14ac:dyDescent="0.3"/>
    <row r="103" spans="1:13" ht="20.100000000000001" customHeight="1" x14ac:dyDescent="0.3">
      <c r="L103" s="35"/>
    </row>
    <row r="104" spans="1:13" ht="20.100000000000001" customHeight="1" x14ac:dyDescent="0.3"/>
    <row r="105" spans="1:13" ht="20.100000000000001" customHeight="1" x14ac:dyDescent="0.3"/>
    <row r="106" spans="1:13" ht="20.100000000000001" customHeight="1" x14ac:dyDescent="0.3"/>
    <row r="107" spans="1:13" ht="20.100000000000001" customHeight="1" x14ac:dyDescent="0.3"/>
    <row r="108" spans="1:13" ht="20.100000000000001" customHeight="1" x14ac:dyDescent="0.3"/>
    <row r="109" spans="1:13" ht="20.100000000000001" customHeight="1" x14ac:dyDescent="0.3"/>
    <row r="110" spans="1:13" ht="20.100000000000001" customHeight="1" x14ac:dyDescent="0.3"/>
    <row r="111" spans="1:13" ht="20.100000000000001" customHeight="1" x14ac:dyDescent="0.3"/>
    <row r="112" spans="1:13" ht="20.100000000000001" customHeight="1" x14ac:dyDescent="0.3"/>
    <row r="113" ht="20.100000000000001" customHeight="1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ht="15" hidden="1" x14ac:dyDescent="0.25"/>
    <row r="480" ht="15" hidden="1" x14ac:dyDescent="0.25"/>
    <row r="481" ht="15" hidden="1" x14ac:dyDescent="0.25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</sheetData>
  <mergeCells count="83">
    <mergeCell ref="A81:M81"/>
    <mergeCell ref="A85:L85"/>
    <mergeCell ref="A86:M86"/>
    <mergeCell ref="A89:L89"/>
    <mergeCell ref="B65:G65"/>
    <mergeCell ref="B71:G71"/>
    <mergeCell ref="B72:G72"/>
    <mergeCell ref="B73:G73"/>
    <mergeCell ref="B78:G78"/>
    <mergeCell ref="B69:G69"/>
    <mergeCell ref="B70:G70"/>
    <mergeCell ref="B88:G88"/>
    <mergeCell ref="B75:G75"/>
    <mergeCell ref="B83:G83"/>
    <mergeCell ref="B77:G77"/>
    <mergeCell ref="B84:G84"/>
    <mergeCell ref="B74:G74"/>
    <mergeCell ref="A79:L79"/>
    <mergeCell ref="B96:D96"/>
    <mergeCell ref="E95:H95"/>
    <mergeCell ref="E96:I96"/>
    <mergeCell ref="B93:G93"/>
    <mergeCell ref="B92:G92"/>
    <mergeCell ref="B91:G91"/>
    <mergeCell ref="B76:G76"/>
    <mergeCell ref="A12:M12"/>
    <mergeCell ref="K8:L8"/>
    <mergeCell ref="B14:G14"/>
    <mergeCell ref="B68:G68"/>
    <mergeCell ref="B17:G17"/>
    <mergeCell ref="B16:G16"/>
    <mergeCell ref="B18:G18"/>
    <mergeCell ref="B40:G40"/>
    <mergeCell ref="B41:G41"/>
    <mergeCell ref="B57:G57"/>
    <mergeCell ref="B21:G21"/>
    <mergeCell ref="B42:G42"/>
    <mergeCell ref="B49:G49"/>
    <mergeCell ref="A2:M2"/>
    <mergeCell ref="A10:M10"/>
    <mergeCell ref="A45:M45"/>
    <mergeCell ref="B47:G47"/>
    <mergeCell ref="A8:B8"/>
    <mergeCell ref="K7:L7"/>
    <mergeCell ref="A3:C3"/>
    <mergeCell ref="E3:G3"/>
    <mergeCell ref="K3:M3"/>
    <mergeCell ref="A4:C6"/>
    <mergeCell ref="E4:G6"/>
    <mergeCell ref="K4:M6"/>
    <mergeCell ref="K9:L9"/>
    <mergeCell ref="B15:G15"/>
    <mergeCell ref="A23:L23"/>
    <mergeCell ref="A37:M37"/>
    <mergeCell ref="B19:G19"/>
    <mergeCell ref="B20:G20"/>
    <mergeCell ref="B22:G22"/>
    <mergeCell ref="B50:G50"/>
    <mergeCell ref="B31:G31"/>
    <mergeCell ref="B56:G56"/>
    <mergeCell ref="B27:G27"/>
    <mergeCell ref="A25:M25"/>
    <mergeCell ref="B52:G52"/>
    <mergeCell ref="B53:G53"/>
    <mergeCell ref="B54:G54"/>
    <mergeCell ref="B51:G51"/>
    <mergeCell ref="B55:G55"/>
    <mergeCell ref="B59:G59"/>
    <mergeCell ref="B58:G58"/>
    <mergeCell ref="B39:G39"/>
    <mergeCell ref="A63:M63"/>
    <mergeCell ref="B60:G60"/>
    <mergeCell ref="B66:G66"/>
    <mergeCell ref="B28:G28"/>
    <mergeCell ref="B29:G29"/>
    <mergeCell ref="B30:G30"/>
    <mergeCell ref="B67:G67"/>
    <mergeCell ref="B32:G32"/>
    <mergeCell ref="B33:G33"/>
    <mergeCell ref="B34:G34"/>
    <mergeCell ref="A35:L35"/>
    <mergeCell ref="A43:L43"/>
    <mergeCell ref="A61:L61"/>
  </mergeCells>
  <printOptions horizontalCentered="1"/>
  <pageMargins left="0.98425196850393704" right="0.98425196850393704" top="0.39370078740157483" bottom="0.39370078740157483" header="0.31496062992125984" footer="0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60" zoomScaleNormal="100" workbookViewId="0">
      <selection activeCell="E32" sqref="E32"/>
    </sheetView>
  </sheetViews>
  <sheetFormatPr defaultRowHeight="14.4" x14ac:dyDescent="0.3"/>
  <cols>
    <col min="1" max="1" width="12.5546875" bestFit="1" customWidth="1"/>
    <col min="2" max="2" width="21" customWidth="1"/>
    <col min="3" max="3" width="24.88671875" bestFit="1" customWidth="1"/>
    <col min="4" max="4" width="18.33203125" bestFit="1" customWidth="1"/>
    <col min="5" max="5" width="50.6640625" customWidth="1"/>
    <col min="6" max="6" width="24.6640625" customWidth="1"/>
  </cols>
  <sheetData>
    <row r="1" spans="1:6" ht="15.6" x14ac:dyDescent="0.3">
      <c r="A1" s="94" t="s">
        <v>99</v>
      </c>
      <c r="B1" s="94"/>
      <c r="C1" s="94"/>
      <c r="D1" s="94"/>
      <c r="E1" s="94"/>
      <c r="F1" s="94"/>
    </row>
    <row r="2" spans="1:6" ht="15.6" x14ac:dyDescent="0.3">
      <c r="A2" s="95" t="s">
        <v>100</v>
      </c>
      <c r="B2" s="95"/>
      <c r="C2" s="95"/>
      <c r="D2" s="95"/>
      <c r="E2" s="95"/>
      <c r="F2" s="95"/>
    </row>
    <row r="3" spans="1:6" ht="15.75" x14ac:dyDescent="0.25">
      <c r="A3" s="96"/>
      <c r="B3" s="96"/>
      <c r="C3" s="96"/>
      <c r="D3" s="96"/>
      <c r="E3" s="96"/>
      <c r="F3" s="96"/>
    </row>
    <row r="4" spans="1:6" ht="15.6" x14ac:dyDescent="0.3">
      <c r="A4" s="56" t="s">
        <v>106</v>
      </c>
      <c r="B4" s="91" t="s">
        <v>81</v>
      </c>
      <c r="C4" s="92"/>
      <c r="D4" s="92"/>
      <c r="E4" s="93"/>
      <c r="F4" s="57"/>
    </row>
    <row r="5" spans="1:6" ht="15.6" x14ac:dyDescent="0.3">
      <c r="A5" s="58"/>
      <c r="B5" s="59" t="s">
        <v>101</v>
      </c>
      <c r="C5" s="59" t="s">
        <v>117</v>
      </c>
      <c r="D5" s="59" t="s">
        <v>102</v>
      </c>
      <c r="E5" s="60" t="s">
        <v>103</v>
      </c>
      <c r="F5" s="61" t="s">
        <v>104</v>
      </c>
    </row>
    <row r="6" spans="1:6" ht="15.75" x14ac:dyDescent="0.25">
      <c r="A6" s="58"/>
      <c r="B6" s="59" t="s">
        <v>107</v>
      </c>
      <c r="C6" s="59" t="s">
        <v>122</v>
      </c>
      <c r="D6" s="59"/>
      <c r="E6" s="55" t="s">
        <v>123</v>
      </c>
      <c r="F6" s="61">
        <v>181.7</v>
      </c>
    </row>
    <row r="7" spans="1:6" ht="15.75" x14ac:dyDescent="0.25">
      <c r="A7" s="58"/>
      <c r="B7" s="59" t="s">
        <v>107</v>
      </c>
      <c r="C7" s="59" t="s">
        <v>122</v>
      </c>
      <c r="D7" s="59"/>
      <c r="E7" s="55" t="s">
        <v>124</v>
      </c>
      <c r="F7" s="61">
        <v>181.35</v>
      </c>
    </row>
    <row r="8" spans="1:6" ht="15.75" x14ac:dyDescent="0.25">
      <c r="A8" s="62"/>
      <c r="B8" s="63"/>
      <c r="C8" s="63"/>
      <c r="D8" s="63"/>
      <c r="E8" s="64" t="s">
        <v>105</v>
      </c>
      <c r="F8" s="65">
        <v>181.7</v>
      </c>
    </row>
    <row r="9" spans="1:6" ht="15.75" x14ac:dyDescent="0.25">
      <c r="A9" s="56" t="s">
        <v>109</v>
      </c>
      <c r="B9" s="91" t="s">
        <v>71</v>
      </c>
      <c r="C9" s="92"/>
      <c r="D9" s="92"/>
      <c r="E9" s="93"/>
      <c r="F9" s="57"/>
    </row>
    <row r="10" spans="1:6" ht="15.6" x14ac:dyDescent="0.3">
      <c r="A10" s="58"/>
      <c r="B10" s="59" t="s">
        <v>101</v>
      </c>
      <c r="C10" s="59" t="s">
        <v>117</v>
      </c>
      <c r="D10" s="59" t="s">
        <v>102</v>
      </c>
      <c r="E10" s="60" t="s">
        <v>103</v>
      </c>
      <c r="F10" s="61" t="s">
        <v>104</v>
      </c>
    </row>
    <row r="11" spans="1:6" ht="15.75" x14ac:dyDescent="0.25">
      <c r="A11" s="58"/>
      <c r="B11" s="66" t="s">
        <v>119</v>
      </c>
      <c r="C11" s="66" t="s">
        <v>118</v>
      </c>
      <c r="D11" s="59" t="s">
        <v>108</v>
      </c>
      <c r="E11" s="55"/>
      <c r="F11" s="61">
        <v>19.559999999999999</v>
      </c>
    </row>
    <row r="12" spans="1:6" ht="15.75" x14ac:dyDescent="0.25">
      <c r="A12" s="62"/>
      <c r="B12" s="63"/>
      <c r="C12" s="63"/>
      <c r="D12" s="63"/>
      <c r="E12" s="64" t="s">
        <v>105</v>
      </c>
      <c r="F12" s="65">
        <v>19.559999999999999</v>
      </c>
    </row>
    <row r="13" spans="1:6" ht="15.75" x14ac:dyDescent="0.25">
      <c r="A13" s="56" t="s">
        <v>110</v>
      </c>
      <c r="B13" s="91" t="s">
        <v>62</v>
      </c>
      <c r="C13" s="92"/>
      <c r="D13" s="92"/>
      <c r="E13" s="93"/>
      <c r="F13" s="57"/>
    </row>
    <row r="14" spans="1:6" ht="15.6" x14ac:dyDescent="0.3">
      <c r="A14" s="58"/>
      <c r="B14" s="59" t="s">
        <v>101</v>
      </c>
      <c r="C14" s="59" t="s">
        <v>117</v>
      </c>
      <c r="D14" s="59" t="s">
        <v>102</v>
      </c>
      <c r="E14" s="60" t="s">
        <v>103</v>
      </c>
      <c r="F14" s="61" t="s">
        <v>104</v>
      </c>
    </row>
    <row r="15" spans="1:6" ht="15.75" x14ac:dyDescent="0.25">
      <c r="A15" s="58"/>
      <c r="B15" s="66" t="s">
        <v>119</v>
      </c>
      <c r="C15" s="66" t="s">
        <v>118</v>
      </c>
      <c r="D15" s="59" t="s">
        <v>108</v>
      </c>
      <c r="E15" s="55"/>
      <c r="F15" s="61">
        <v>0.38</v>
      </c>
    </row>
    <row r="16" spans="1:6" ht="15.75" x14ac:dyDescent="0.25">
      <c r="A16" s="62"/>
      <c r="B16" s="63"/>
      <c r="C16" s="63"/>
      <c r="D16" s="63"/>
      <c r="E16" s="64" t="s">
        <v>105</v>
      </c>
      <c r="F16" s="65">
        <v>0.38</v>
      </c>
    </row>
    <row r="17" spans="1:6" ht="15.6" x14ac:dyDescent="0.3">
      <c r="A17" s="56" t="s">
        <v>111</v>
      </c>
      <c r="B17" s="91" t="s">
        <v>63</v>
      </c>
      <c r="C17" s="92"/>
      <c r="D17" s="92"/>
      <c r="E17" s="93"/>
      <c r="F17" s="57"/>
    </row>
    <row r="18" spans="1:6" ht="15.6" x14ac:dyDescent="0.3">
      <c r="A18" s="58"/>
      <c r="B18" s="59" t="s">
        <v>101</v>
      </c>
      <c r="C18" s="59" t="s">
        <v>117</v>
      </c>
      <c r="D18" s="59" t="s">
        <v>102</v>
      </c>
      <c r="E18" s="60" t="s">
        <v>103</v>
      </c>
      <c r="F18" s="61" t="s">
        <v>104</v>
      </c>
    </row>
    <row r="19" spans="1:6" ht="15.75" x14ac:dyDescent="0.25">
      <c r="A19" s="58"/>
      <c r="B19" s="66" t="s">
        <v>119</v>
      </c>
      <c r="C19" s="66" t="s">
        <v>118</v>
      </c>
      <c r="D19" s="59" t="s">
        <v>108</v>
      </c>
      <c r="E19" s="55"/>
      <c r="F19" s="61">
        <v>0.18</v>
      </c>
    </row>
    <row r="20" spans="1:6" ht="15.75" x14ac:dyDescent="0.25">
      <c r="A20" s="62"/>
      <c r="B20" s="63"/>
      <c r="C20" s="63"/>
      <c r="D20" s="63"/>
      <c r="E20" s="64" t="s">
        <v>105</v>
      </c>
      <c r="F20" s="61">
        <v>0.18</v>
      </c>
    </row>
    <row r="21" spans="1:6" ht="15.75" x14ac:dyDescent="0.25">
      <c r="A21" s="56" t="s">
        <v>112</v>
      </c>
      <c r="B21" s="91" t="s">
        <v>64</v>
      </c>
      <c r="C21" s="92"/>
      <c r="D21" s="92"/>
      <c r="E21" s="93"/>
      <c r="F21" s="57"/>
    </row>
    <row r="22" spans="1:6" ht="15.6" x14ac:dyDescent="0.3">
      <c r="A22" s="58"/>
      <c r="B22" s="59" t="s">
        <v>101</v>
      </c>
      <c r="C22" s="59" t="s">
        <v>117</v>
      </c>
      <c r="D22" s="59" t="s">
        <v>102</v>
      </c>
      <c r="E22" s="60" t="s">
        <v>103</v>
      </c>
      <c r="F22" s="61" t="s">
        <v>104</v>
      </c>
    </row>
    <row r="23" spans="1:6" ht="15.75" x14ac:dyDescent="0.25">
      <c r="A23" s="58"/>
      <c r="B23" s="66" t="s">
        <v>120</v>
      </c>
      <c r="C23" s="66" t="s">
        <v>121</v>
      </c>
      <c r="D23" s="59" t="s">
        <v>113</v>
      </c>
      <c r="E23" s="55"/>
      <c r="F23" s="61">
        <v>11.25</v>
      </c>
    </row>
    <row r="24" spans="1:6" ht="15.75" x14ac:dyDescent="0.25">
      <c r="A24" s="62"/>
      <c r="B24" s="63"/>
      <c r="C24" s="63"/>
      <c r="D24" s="63"/>
      <c r="E24" s="64" t="s">
        <v>105</v>
      </c>
      <c r="F24" s="61">
        <v>11.25</v>
      </c>
    </row>
  </sheetData>
  <mergeCells count="8">
    <mergeCell ref="B17:E17"/>
    <mergeCell ref="B21:E21"/>
    <mergeCell ref="A1:F1"/>
    <mergeCell ref="A2:F2"/>
    <mergeCell ref="A3:F3"/>
    <mergeCell ref="B4:E4"/>
    <mergeCell ref="B9:E9"/>
    <mergeCell ref="B13:E13"/>
  </mergeCells>
  <hyperlinks>
    <hyperlink ref="E6" r:id="rId1"/>
    <hyperlink ref="E7" r:id="rId2"/>
  </hyperlinks>
  <pageMargins left="0.511811024" right="0.511811024" top="0.78740157499999996" bottom="0.78740157499999996" header="0.31496062000000002" footer="0.3149606200000000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COTAÇÕES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Flavia</cp:lastModifiedBy>
  <cp:lastPrinted>2019-01-23T16:51:56Z</cp:lastPrinted>
  <dcterms:created xsi:type="dcterms:W3CDTF">2016-11-16T21:26:51Z</dcterms:created>
  <dcterms:modified xsi:type="dcterms:W3CDTF">2019-02-11T14:39:02Z</dcterms:modified>
</cp:coreProperties>
</file>